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B3B263E8-72C9-4029-946A-654965AD4362}" xr6:coauthVersionLast="47" xr6:coauthVersionMax="47" xr10:uidLastSave="{00000000-0000-0000-0000-000000000000}"/>
  <bookViews>
    <workbookView xWindow="-120" yWindow="-120" windowWidth="19440" windowHeight="15000" tabRatio="812" activeTab="1" xr2:uid="{00000000-000D-0000-FFFF-FFFF00000000}"/>
  </bookViews>
  <sheets>
    <sheet name="Parrilla de Aireación" sheetId="30" r:id="rId1"/>
    <sheet name="Parab Camarones" sheetId="6" r:id="rId2"/>
    <sheet name="Suministro de Alimento y O2" sheetId="15" r:id="rId3"/>
    <sheet name="Agua-T(°C)" sheetId="20" r:id="rId4"/>
    <sheet name="Tuberia de Aireación" sheetId="22" r:id="rId5"/>
    <sheet name="Tubería hacia Filtro" sheetId="32" r:id="rId6"/>
    <sheet name="Tuberías Varias" sheetId="33" r:id="rId7"/>
    <sheet name="Alternativas Bombas Aireación" sheetId="31" r:id="rId8"/>
  </sheets>
  <externalReferences>
    <externalReference r:id="rId9"/>
  </externalReferences>
  <definedNames>
    <definedName name="_Hlk113887507" localSheetId="1">'Parab Camarones'!#REF!</definedName>
    <definedName name="_xlnm.Print_Area" localSheetId="1">'Parab Camarones'!$C$5:$F$135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8" i="6" l="1"/>
  <c r="G209" i="6"/>
  <c r="E6" i="33"/>
  <c r="E9" i="33" s="1"/>
  <c r="E11" i="33" s="1"/>
  <c r="H20" i="33"/>
  <c r="G19" i="33"/>
  <c r="H19" i="33" s="1"/>
  <c r="E19" i="33"/>
  <c r="H17" i="33"/>
  <c r="H8" i="33"/>
  <c r="H7" i="33"/>
  <c r="G7" i="33"/>
  <c r="E7" i="33"/>
  <c r="G6" i="33"/>
  <c r="H5" i="33"/>
  <c r="E208" i="6"/>
  <c r="G231" i="6"/>
  <c r="E231" i="6"/>
  <c r="G223" i="6"/>
  <c r="E223" i="6"/>
  <c r="G167" i="6"/>
  <c r="E167" i="6"/>
  <c r="G124" i="6"/>
  <c r="H14" i="6"/>
  <c r="H104" i="6"/>
  <c r="G100" i="6"/>
  <c r="G101" i="6" s="1"/>
  <c r="G105" i="6" s="1"/>
  <c r="E100" i="6"/>
  <c r="E101" i="6" s="1"/>
  <c r="G79" i="6"/>
  <c r="E79" i="6"/>
  <c r="H78" i="6"/>
  <c r="H77" i="6"/>
  <c r="H76" i="6"/>
  <c r="G10" i="33" l="1"/>
  <c r="H6" i="33"/>
  <c r="E14" i="33"/>
  <c r="E15" i="33"/>
  <c r="E13" i="33"/>
  <c r="G9" i="33"/>
  <c r="G22" i="33"/>
  <c r="E18" i="33"/>
  <c r="E21" i="33" s="1"/>
  <c r="E23" i="33" s="1"/>
  <c r="E25" i="33" s="1"/>
  <c r="E10" i="33"/>
  <c r="G18" i="33"/>
  <c r="E105" i="6"/>
  <c r="H105" i="6" s="1"/>
  <c r="H101" i="6"/>
  <c r="H100" i="6"/>
  <c r="H79" i="6"/>
  <c r="G157" i="6"/>
  <c r="G155" i="6" s="1"/>
  <c r="E157" i="6"/>
  <c r="E155" i="6" s="1"/>
  <c r="H152" i="6"/>
  <c r="H156" i="6"/>
  <c r="G47" i="22"/>
  <c r="E47" i="22"/>
  <c r="E37" i="22"/>
  <c r="E169" i="6"/>
  <c r="E173" i="6"/>
  <c r="E185" i="6"/>
  <c r="E200" i="6" s="1"/>
  <c r="E186" i="6"/>
  <c r="E191" i="6"/>
  <c r="E192" i="6"/>
  <c r="E210" i="6"/>
  <c r="H207" i="6"/>
  <c r="G210" i="6"/>
  <c r="H210" i="6"/>
  <c r="H206" i="6"/>
  <c r="G192" i="6"/>
  <c r="G191" i="6"/>
  <c r="G50" i="22"/>
  <c r="B63" i="33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H58" i="33"/>
  <c r="H56" i="33"/>
  <c r="H55" i="33"/>
  <c r="G54" i="33"/>
  <c r="E54" i="33"/>
  <c r="H53" i="33"/>
  <c r="H51" i="33"/>
  <c r="H50" i="33"/>
  <c r="H43" i="33"/>
  <c r="G42" i="33"/>
  <c r="E42" i="33"/>
  <c r="H40" i="33"/>
  <c r="H32" i="33"/>
  <c r="H31" i="33"/>
  <c r="H29" i="33"/>
  <c r="H26" i="33"/>
  <c r="H32" i="32"/>
  <c r="H31" i="32"/>
  <c r="H29" i="32"/>
  <c r="H20" i="32"/>
  <c r="G19" i="32"/>
  <c r="H19" i="32" s="1"/>
  <c r="E19" i="32"/>
  <c r="H17" i="32"/>
  <c r="H10" i="32"/>
  <c r="H9" i="32"/>
  <c r="H7" i="32"/>
  <c r="H5" i="32"/>
  <c r="H49" i="22"/>
  <c r="G48" i="22"/>
  <c r="H48" i="22" s="1"/>
  <c r="E48" i="22"/>
  <c r="H46" i="22"/>
  <c r="H39" i="22"/>
  <c r="H38" i="22"/>
  <c r="H36" i="22"/>
  <c r="H29" i="22"/>
  <c r="H28" i="22"/>
  <c r="H26" i="22"/>
  <c r="H18" i="22"/>
  <c r="H17" i="22"/>
  <c r="H15" i="22"/>
  <c r="H8" i="22"/>
  <c r="H7" i="22"/>
  <c r="H5" i="22"/>
  <c r="G52" i="6"/>
  <c r="H233" i="6"/>
  <c r="H228" i="6"/>
  <c r="H227" i="6"/>
  <c r="H224" i="6"/>
  <c r="H213" i="6"/>
  <c r="H211" i="6"/>
  <c r="H198" i="6"/>
  <c r="H197" i="6"/>
  <c r="H189" i="6"/>
  <c r="H188" i="6"/>
  <c r="H184" i="6"/>
  <c r="H183" i="6"/>
  <c r="H181" i="6"/>
  <c r="H177" i="6"/>
  <c r="H175" i="6"/>
  <c r="H168" i="6"/>
  <c r="H163" i="6"/>
  <c r="H160" i="6"/>
  <c r="H151" i="6"/>
  <c r="H146" i="6"/>
  <c r="H145" i="6"/>
  <c r="H143" i="6"/>
  <c r="H139" i="6"/>
  <c r="H138" i="6"/>
  <c r="H136" i="6"/>
  <c r="H134" i="6"/>
  <c r="H132" i="6"/>
  <c r="H130" i="6"/>
  <c r="H128" i="6"/>
  <c r="H111" i="6"/>
  <c r="H110" i="6"/>
  <c r="H109" i="6"/>
  <c r="H108" i="6"/>
  <c r="H97" i="6"/>
  <c r="H96" i="6"/>
  <c r="H94" i="6"/>
  <c r="H93" i="6"/>
  <c r="H89" i="6"/>
  <c r="H88" i="6"/>
  <c r="H86" i="6"/>
  <c r="H73" i="6"/>
  <c r="H72" i="6"/>
  <c r="H71" i="6"/>
  <c r="H60" i="6"/>
  <c r="H59" i="6"/>
  <c r="H58" i="6"/>
  <c r="H57" i="6"/>
  <c r="H56" i="6"/>
  <c r="H47" i="6"/>
  <c r="H36" i="6"/>
  <c r="H32" i="6"/>
  <c r="H25" i="6"/>
  <c r="H24" i="6"/>
  <c r="H23" i="6"/>
  <c r="H20" i="6"/>
  <c r="H19" i="6"/>
  <c r="H17" i="6"/>
  <c r="H15" i="6"/>
  <c r="G225" i="6"/>
  <c r="G186" i="6"/>
  <c r="G185" i="6"/>
  <c r="G200" i="6" s="1"/>
  <c r="G6" i="32" s="1"/>
  <c r="G173" i="6"/>
  <c r="G169" i="6"/>
  <c r="G148" i="6"/>
  <c r="G147" i="6"/>
  <c r="G150" i="6" s="1"/>
  <c r="G158" i="6" s="1"/>
  <c r="G30" i="33" s="1"/>
  <c r="G141" i="6"/>
  <c r="G140" i="6"/>
  <c r="G149" i="6" s="1"/>
  <c r="G127" i="6"/>
  <c r="G203" i="6" s="1"/>
  <c r="G113" i="6"/>
  <c r="G112" i="6"/>
  <c r="G90" i="6"/>
  <c r="G38" i="6"/>
  <c r="G33" i="6"/>
  <c r="G34" i="6" s="1"/>
  <c r="G26" i="6"/>
  <c r="G27" i="6" s="1"/>
  <c r="G22" i="6"/>
  <c r="G21" i="6"/>
  <c r="G16" i="6"/>
  <c r="G18" i="6" s="1"/>
  <c r="G201" i="6" s="1"/>
  <c r="G24" i="30"/>
  <c r="G23" i="30"/>
  <c r="G12" i="30"/>
  <c r="I43" i="30"/>
  <c r="I41" i="30"/>
  <c r="I33" i="30"/>
  <c r="I32" i="30"/>
  <c r="I31" i="30"/>
  <c r="I27" i="30"/>
  <c r="I26" i="30"/>
  <c r="I20" i="30"/>
  <c r="I14" i="30"/>
  <c r="I13" i="30"/>
  <c r="I9" i="30"/>
  <c r="I5" i="30"/>
  <c r="G28" i="30"/>
  <c r="G29" i="30" s="1"/>
  <c r="G21" i="30"/>
  <c r="G22" i="30" s="1"/>
  <c r="G6" i="30"/>
  <c r="E90" i="6"/>
  <c r="D95" i="6"/>
  <c r="E112" i="6"/>
  <c r="E113" i="6"/>
  <c r="H54" i="33" l="1"/>
  <c r="H18" i="33"/>
  <c r="G21" i="33"/>
  <c r="G11" i="33"/>
  <c r="H9" i="33"/>
  <c r="E22" i="33"/>
  <c r="E16" i="33" s="1"/>
  <c r="E4" i="33"/>
  <c r="E3" i="33" s="1"/>
  <c r="E209" i="6" s="1"/>
  <c r="H10" i="33"/>
  <c r="E193" i="6"/>
  <c r="E194" i="6" s="1"/>
  <c r="E195" i="6" s="1"/>
  <c r="H155" i="6"/>
  <c r="H157" i="6"/>
  <c r="E216" i="6"/>
  <c r="G202" i="6"/>
  <c r="G204" i="6" s="1"/>
  <c r="G216" i="6"/>
  <c r="H208" i="6"/>
  <c r="G193" i="6"/>
  <c r="G194" i="6" s="1"/>
  <c r="G195" i="6" s="1"/>
  <c r="G28" i="6"/>
  <c r="G35" i="6" s="1"/>
  <c r="H192" i="6"/>
  <c r="G95" i="6"/>
  <c r="H113" i="6"/>
  <c r="G30" i="32"/>
  <c r="G33" i="32" s="1"/>
  <c r="G35" i="32" s="1"/>
  <c r="G114" i="6"/>
  <c r="G119" i="6" s="1"/>
  <c r="H90" i="6"/>
  <c r="G41" i="33"/>
  <c r="G44" i="33" s="1"/>
  <c r="G46" i="33" s="1"/>
  <c r="G48" i="33" s="1"/>
  <c r="G52" i="22"/>
  <c r="G54" i="22" s="1"/>
  <c r="H42" i="33"/>
  <c r="G8" i="32"/>
  <c r="G51" i="22"/>
  <c r="G39" i="30"/>
  <c r="H112" i="6"/>
  <c r="G115" i="6"/>
  <c r="G178" i="6"/>
  <c r="G232" i="6"/>
  <c r="G25" i="30"/>
  <c r="H169" i="6"/>
  <c r="H173" i="6"/>
  <c r="H186" i="6"/>
  <c r="E127" i="6"/>
  <c r="E203" i="6" s="1"/>
  <c r="E140" i="6"/>
  <c r="E178" i="6" s="1"/>
  <c r="E141" i="6"/>
  <c r="H141" i="6" s="1"/>
  <c r="E147" i="6"/>
  <c r="E150" i="6" s="1"/>
  <c r="E158" i="6" s="1"/>
  <c r="H158" i="6" s="1"/>
  <c r="E148" i="6"/>
  <c r="H148" i="6" s="1"/>
  <c r="G23" i="33" l="1"/>
  <c r="H21" i="33"/>
  <c r="H22" i="33"/>
  <c r="G15" i="33"/>
  <c r="H15" i="33" s="1"/>
  <c r="H11" i="33"/>
  <c r="G13" i="33"/>
  <c r="G14" i="33"/>
  <c r="H14" i="33" s="1"/>
  <c r="G48" i="6"/>
  <c r="E187" i="6"/>
  <c r="E179" i="6"/>
  <c r="H195" i="6"/>
  <c r="G29" i="6"/>
  <c r="G30" i="6" s="1"/>
  <c r="H127" i="6"/>
  <c r="H203" i="6"/>
  <c r="G120" i="6"/>
  <c r="G34" i="32"/>
  <c r="G55" i="22"/>
  <c r="G45" i="22" s="1"/>
  <c r="G49" i="33"/>
  <c r="G45" i="33"/>
  <c r="H200" i="6"/>
  <c r="E6" i="32"/>
  <c r="G118" i="6"/>
  <c r="H178" i="6"/>
  <c r="G174" i="6"/>
  <c r="G176" i="6" s="1"/>
  <c r="G52" i="33"/>
  <c r="G57" i="33" s="1"/>
  <c r="H150" i="6"/>
  <c r="E41" i="33"/>
  <c r="G18" i="32"/>
  <c r="G11" i="32"/>
  <c r="G12" i="32"/>
  <c r="G37" i="32"/>
  <c r="G234" i="6"/>
  <c r="H193" i="6"/>
  <c r="H185" i="6"/>
  <c r="H194" i="6"/>
  <c r="H191" i="6"/>
  <c r="H147" i="6"/>
  <c r="H140" i="6"/>
  <c r="G187" i="6"/>
  <c r="G179" i="6"/>
  <c r="G37" i="6"/>
  <c r="G49" i="6"/>
  <c r="G30" i="30"/>
  <c r="E149" i="6"/>
  <c r="H149" i="6" s="1"/>
  <c r="E12" i="30"/>
  <c r="I12" i="30" s="1"/>
  <c r="H13" i="33" l="1"/>
  <c r="G4" i="33"/>
  <c r="G25" i="33"/>
  <c r="H23" i="33"/>
  <c r="G39" i="33"/>
  <c r="G170" i="6"/>
  <c r="G171" i="6" s="1"/>
  <c r="H187" i="6"/>
  <c r="E44" i="33"/>
  <c r="E45" i="33"/>
  <c r="E52" i="33"/>
  <c r="H41" i="33"/>
  <c r="E30" i="32"/>
  <c r="E8" i="32"/>
  <c r="H6" i="32"/>
  <c r="G13" i="32"/>
  <c r="G28" i="32"/>
  <c r="G21" i="32"/>
  <c r="G22" i="32"/>
  <c r="G31" i="6"/>
  <c r="G50" i="6"/>
  <c r="H179" i="6"/>
  <c r="G34" i="30"/>
  <c r="E21" i="6"/>
  <c r="H21" i="6" s="1"/>
  <c r="H4" i="33" l="1"/>
  <c r="H25" i="33"/>
  <c r="G16" i="33"/>
  <c r="H16" i="33" s="1"/>
  <c r="H8" i="32"/>
  <c r="E18" i="32"/>
  <c r="E11" i="32"/>
  <c r="E12" i="32"/>
  <c r="H12" i="32" s="1"/>
  <c r="E34" i="32"/>
  <c r="H30" i="32"/>
  <c r="E33" i="32"/>
  <c r="H52" i="33"/>
  <c r="E57" i="33"/>
  <c r="H57" i="33" s="1"/>
  <c r="D62" i="33"/>
  <c r="H45" i="33"/>
  <c r="E46" i="33"/>
  <c r="H44" i="33"/>
  <c r="G23" i="32"/>
  <c r="G15" i="32"/>
  <c r="G51" i="6"/>
  <c r="E22" i="6"/>
  <c r="E16" i="6"/>
  <c r="H16" i="6" s="1"/>
  <c r="D44" i="15"/>
  <c r="D47" i="15" s="1"/>
  <c r="D50" i="15" s="1"/>
  <c r="D53" i="15" s="1"/>
  <c r="D56" i="15" s="1"/>
  <c r="E23" i="30"/>
  <c r="I23" i="30" s="1"/>
  <c r="E24" i="30"/>
  <c r="I24" i="30" s="1"/>
  <c r="G3" i="33" l="1"/>
  <c r="H3" i="33" s="1"/>
  <c r="H22" i="6"/>
  <c r="E35" i="32"/>
  <c r="H33" i="32"/>
  <c r="E13" i="32"/>
  <c r="H11" i="32"/>
  <c r="E49" i="33"/>
  <c r="H49" i="33" s="1"/>
  <c r="E48" i="33"/>
  <c r="H46" i="33"/>
  <c r="G62" i="33"/>
  <c r="D63" i="33"/>
  <c r="E62" i="33"/>
  <c r="H18" i="32"/>
  <c r="E21" i="32"/>
  <c r="E22" i="32"/>
  <c r="H22" i="32" s="1"/>
  <c r="G4" i="32"/>
  <c r="H34" i="32"/>
  <c r="G25" i="32"/>
  <c r="G26" i="32"/>
  <c r="G27" i="32"/>
  <c r="G53" i="6"/>
  <c r="G54" i="6" s="1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E15" i="32" l="1"/>
  <c r="H15" i="32" s="1"/>
  <c r="H13" i="32"/>
  <c r="H48" i="33"/>
  <c r="E39" i="33"/>
  <c r="H39" i="33" s="1"/>
  <c r="G63" i="33"/>
  <c r="D64" i="33"/>
  <c r="E63" i="33"/>
  <c r="E37" i="32"/>
  <c r="H35" i="32"/>
  <c r="E23" i="32"/>
  <c r="H21" i="32"/>
  <c r="H62" i="33"/>
  <c r="G16" i="32"/>
  <c r="G40" i="6"/>
  <c r="O41" i="15"/>
  <c r="H63" i="33" l="1"/>
  <c r="H37" i="32"/>
  <c r="E28" i="32"/>
  <c r="H28" i="32" s="1"/>
  <c r="E27" i="32"/>
  <c r="H27" i="32" s="1"/>
  <c r="E25" i="32"/>
  <c r="E26" i="32"/>
  <c r="H26" i="32" s="1"/>
  <c r="H23" i="32"/>
  <c r="E4" i="32"/>
  <c r="H4" i="32" s="1"/>
  <c r="D65" i="33"/>
  <c r="E64" i="33"/>
  <c r="G64" i="33"/>
  <c r="G3" i="32"/>
  <c r="G221" i="6"/>
  <c r="H64" i="33" l="1"/>
  <c r="G65" i="33"/>
  <c r="D66" i="33"/>
  <c r="E65" i="33"/>
  <c r="E16" i="32"/>
  <c r="H25" i="32"/>
  <c r="G196" i="6"/>
  <c r="G190" i="6" s="1"/>
  <c r="D67" i="33" l="1"/>
  <c r="E66" i="33"/>
  <c r="G66" i="33"/>
  <c r="E3" i="32"/>
  <c r="E196" i="6" s="1"/>
  <c r="H16" i="32"/>
  <c r="H65" i="33"/>
  <c r="E38" i="6"/>
  <c r="H38" i="6" s="1"/>
  <c r="E52" i="6"/>
  <c r="H52" i="6" s="1"/>
  <c r="E190" i="6" l="1"/>
  <c r="E199" i="6"/>
  <c r="H66" i="33"/>
  <c r="H3" i="32"/>
  <c r="D68" i="33"/>
  <c r="E67" i="33"/>
  <c r="G67" i="33"/>
  <c r="F50" i="15"/>
  <c r="F53" i="15" s="1"/>
  <c r="E26" i="6"/>
  <c r="O44" i="15"/>
  <c r="D199" i="6" l="1"/>
  <c r="D197" i="6"/>
  <c r="G68" i="33"/>
  <c r="D69" i="33"/>
  <c r="E68" i="33"/>
  <c r="H67" i="33"/>
  <c r="E27" i="6"/>
  <c r="H26" i="6"/>
  <c r="O47" i="15"/>
  <c r="E69" i="33" l="1"/>
  <c r="G69" i="33"/>
  <c r="D70" i="33"/>
  <c r="H68" i="33"/>
  <c r="E28" i="6"/>
  <c r="H28" i="6" s="1"/>
  <c r="H27" i="6"/>
  <c r="O50" i="15"/>
  <c r="H69" i="33" l="1"/>
  <c r="G70" i="33"/>
  <c r="D71" i="33"/>
  <c r="E70" i="33"/>
  <c r="O53" i="15"/>
  <c r="G71" i="33" l="1"/>
  <c r="D72" i="33"/>
  <c r="E71" i="33"/>
  <c r="H70" i="33"/>
  <c r="O56" i="15"/>
  <c r="D42" i="15"/>
  <c r="D45" i="15" s="1"/>
  <c r="D48" i="15" s="1"/>
  <c r="D51" i="15" s="1"/>
  <c r="D54" i="15" s="1"/>
  <c r="D57" i="15" s="1"/>
  <c r="O42" i="15" l="1"/>
  <c r="E72" i="33"/>
  <c r="G72" i="33"/>
  <c r="D73" i="33"/>
  <c r="H71" i="33"/>
  <c r="O45" i="15"/>
  <c r="H72" i="33" l="1"/>
  <c r="G73" i="33"/>
  <c r="D74" i="33"/>
  <c r="E73" i="33"/>
  <c r="O48" i="15"/>
  <c r="G74" i="33" l="1"/>
  <c r="E74" i="33"/>
  <c r="E59" i="33" s="1"/>
  <c r="H73" i="33"/>
  <c r="O51" i="15"/>
  <c r="G59" i="33" l="1"/>
  <c r="H59" i="33" s="1"/>
  <c r="H74" i="33"/>
  <c r="O54" i="15"/>
  <c r="D43" i="15" l="1"/>
  <c r="D46" i="15" s="1"/>
  <c r="D49" i="15" s="1"/>
  <c r="D52" i="15" s="1"/>
  <c r="D55" i="15" s="1"/>
  <c r="D58" i="15" s="1"/>
  <c r="G42" i="6" s="1"/>
  <c r="G44" i="6" s="1"/>
  <c r="G45" i="6" s="1"/>
  <c r="E33" i="6"/>
  <c r="H33" i="6" s="1"/>
  <c r="G39" i="6" l="1"/>
  <c r="O57" i="15"/>
  <c r="O43" i="15"/>
  <c r="E34" i="6"/>
  <c r="H34" i="6" s="1"/>
  <c r="G220" i="6" l="1"/>
  <c r="G46" i="6"/>
  <c r="O46" i="15"/>
  <c r="P44" i="15" l="1"/>
  <c r="P41" i="15"/>
  <c r="P47" i="15"/>
  <c r="P50" i="15"/>
  <c r="P53" i="15"/>
  <c r="P56" i="15"/>
  <c r="O49" i="15"/>
  <c r="E41" i="15"/>
  <c r="Q41" i="15" s="1"/>
  <c r="E44" i="15"/>
  <c r="Q44" i="15" s="1"/>
  <c r="E48" i="6"/>
  <c r="H48" i="6" s="1"/>
  <c r="E29" i="6"/>
  <c r="H29" i="6" s="1"/>
  <c r="E47" i="15"/>
  <c r="Q47" i="15" s="1"/>
  <c r="E56" i="15"/>
  <c r="Q56" i="15" s="1"/>
  <c r="E53" i="15"/>
  <c r="Q53" i="15" s="1"/>
  <c r="E50" i="15"/>
  <c r="Q50" i="15" s="1"/>
  <c r="R50" i="15" l="1"/>
  <c r="J81" i="15" s="1"/>
  <c r="R56" i="15"/>
  <c r="J91" i="15" s="1"/>
  <c r="R41" i="15"/>
  <c r="J66" i="15" s="1"/>
  <c r="R47" i="15"/>
  <c r="J76" i="15" s="1"/>
  <c r="R53" i="15"/>
  <c r="J86" i="15" s="1"/>
  <c r="R44" i="15"/>
  <c r="J71" i="15" s="1"/>
  <c r="P42" i="15"/>
  <c r="P45" i="15"/>
  <c r="P48" i="15"/>
  <c r="P51" i="15"/>
  <c r="P54" i="15"/>
  <c r="P57" i="15"/>
  <c r="O52" i="15"/>
  <c r="D71" i="15"/>
  <c r="D81" i="15"/>
  <c r="D86" i="15"/>
  <c r="D76" i="15"/>
  <c r="D66" i="15"/>
  <c r="D91" i="15"/>
  <c r="E45" i="15"/>
  <c r="Q45" i="15" s="1"/>
  <c r="E42" i="15"/>
  <c r="Q42" i="15" s="1"/>
  <c r="E49" i="6"/>
  <c r="H49" i="6" s="1"/>
  <c r="E20" i="15"/>
  <c r="E8" i="15"/>
  <c r="E11" i="15"/>
  <c r="E23" i="15"/>
  <c r="E14" i="15"/>
  <c r="E17" i="15"/>
  <c r="E30" i="6"/>
  <c r="H30" i="6" s="1"/>
  <c r="E48" i="15"/>
  <c r="Q48" i="15" s="1"/>
  <c r="E54" i="15"/>
  <c r="Q54" i="15" s="1"/>
  <c r="E51" i="15"/>
  <c r="Q51" i="15" s="1"/>
  <c r="E57" i="15"/>
  <c r="Q57" i="15" s="1"/>
  <c r="R57" i="15" l="1"/>
  <c r="R42" i="15"/>
  <c r="Q14" i="15"/>
  <c r="O14" i="15"/>
  <c r="R54" i="15"/>
  <c r="Q23" i="15"/>
  <c r="O23" i="15"/>
  <c r="R51" i="15"/>
  <c r="O17" i="15"/>
  <c r="Q17" i="15"/>
  <c r="O8" i="15"/>
  <c r="Q8" i="15"/>
  <c r="R45" i="15"/>
  <c r="O20" i="15"/>
  <c r="Q20" i="15"/>
  <c r="Q11" i="15"/>
  <c r="O11" i="15"/>
  <c r="R48" i="15"/>
  <c r="P43" i="15"/>
  <c r="P46" i="15"/>
  <c r="P49" i="15"/>
  <c r="P52" i="15"/>
  <c r="O55" i="15"/>
  <c r="D77" i="15"/>
  <c r="D72" i="15"/>
  <c r="D87" i="15"/>
  <c r="D82" i="15"/>
  <c r="D67" i="15"/>
  <c r="D92" i="15"/>
  <c r="E43" i="15"/>
  <c r="Q43" i="15" s="1"/>
  <c r="E46" i="15"/>
  <c r="Q46" i="15" s="1"/>
  <c r="E50" i="6"/>
  <c r="E24" i="15"/>
  <c r="E12" i="15"/>
  <c r="E15" i="15"/>
  <c r="E18" i="15"/>
  <c r="E21" i="15"/>
  <c r="E9" i="15"/>
  <c r="E31" i="6"/>
  <c r="H31" i="6" s="1"/>
  <c r="E49" i="15"/>
  <c r="Q49" i="15" s="1"/>
  <c r="E52" i="15"/>
  <c r="Q52" i="15" s="1"/>
  <c r="E28" i="30"/>
  <c r="E29" i="30" l="1"/>
  <c r="I29" i="30" s="1"/>
  <c r="I28" i="30"/>
  <c r="E25" i="15"/>
  <c r="E26" i="15" s="1"/>
  <c r="H50" i="6"/>
  <c r="E55" i="15"/>
  <c r="Q55" i="15" s="1"/>
  <c r="R46" i="15"/>
  <c r="O21" i="15"/>
  <c r="Q21" i="15"/>
  <c r="O24" i="15"/>
  <c r="Q24" i="15"/>
  <c r="R49" i="15"/>
  <c r="R17" i="15"/>
  <c r="J82" i="15" s="1"/>
  <c r="Q18" i="15"/>
  <c r="O18" i="15"/>
  <c r="O25" i="15"/>
  <c r="Q15" i="15"/>
  <c r="O15" i="15"/>
  <c r="R43" i="15"/>
  <c r="R11" i="15"/>
  <c r="J72" i="15" s="1"/>
  <c r="R8" i="15"/>
  <c r="J67" i="15" s="1"/>
  <c r="R23" i="15"/>
  <c r="J92" i="15" s="1"/>
  <c r="R14" i="15"/>
  <c r="J77" i="15" s="1"/>
  <c r="O9" i="15"/>
  <c r="Q9" i="15"/>
  <c r="O12" i="15"/>
  <c r="Q12" i="15"/>
  <c r="R52" i="15"/>
  <c r="R20" i="15"/>
  <c r="J87" i="15" s="1"/>
  <c r="P55" i="15"/>
  <c r="D68" i="15"/>
  <c r="D88" i="15"/>
  <c r="D93" i="15"/>
  <c r="D78" i="15"/>
  <c r="D73" i="15"/>
  <c r="D83" i="15"/>
  <c r="E51" i="6"/>
  <c r="H51" i="6" s="1"/>
  <c r="E16" i="15"/>
  <c r="E19" i="15"/>
  <c r="E22" i="15"/>
  <c r="E10" i="15"/>
  <c r="E13" i="15"/>
  <c r="E52" i="30"/>
  <c r="G16" i="30" s="1"/>
  <c r="E49" i="30"/>
  <c r="E47" i="30"/>
  <c r="E48" i="30" s="1"/>
  <c r="Q25" i="15" l="1"/>
  <c r="R25" i="15" s="1"/>
  <c r="G17" i="30"/>
  <c r="R55" i="15"/>
  <c r="R21" i="15"/>
  <c r="J88" i="15" s="1"/>
  <c r="O58" i="15"/>
  <c r="E42" i="6"/>
  <c r="H42" i="6" s="1"/>
  <c r="R24" i="15"/>
  <c r="J93" i="15" s="1"/>
  <c r="O19" i="15"/>
  <c r="Q19" i="15"/>
  <c r="R9" i="15"/>
  <c r="J68" i="15" s="1"/>
  <c r="R15" i="15"/>
  <c r="J78" i="15" s="1"/>
  <c r="R18" i="15"/>
  <c r="J83" i="15" s="1"/>
  <c r="Q22" i="15"/>
  <c r="O22" i="15"/>
  <c r="O16" i="15"/>
  <c r="Q16" i="15"/>
  <c r="O13" i="15"/>
  <c r="Q13" i="15"/>
  <c r="Q10" i="15"/>
  <c r="O10" i="15"/>
  <c r="R12" i="15"/>
  <c r="J73" i="15" s="1"/>
  <c r="E58" i="15"/>
  <c r="E53" i="6"/>
  <c r="D89" i="15"/>
  <c r="D90" i="15" s="1"/>
  <c r="O26" i="15"/>
  <c r="D74" i="15"/>
  <c r="D75" i="15" s="1"/>
  <c r="D84" i="15"/>
  <c r="D85" i="15" s="1"/>
  <c r="D79" i="15"/>
  <c r="D80" i="15" s="1"/>
  <c r="D69" i="15"/>
  <c r="D70" i="15" s="1"/>
  <c r="E50" i="30"/>
  <c r="E51" i="30" s="1"/>
  <c r="G15" i="30" s="1"/>
  <c r="H53" i="6" l="1"/>
  <c r="E54" i="6"/>
  <c r="G7" i="30"/>
  <c r="Q58" i="15"/>
  <c r="R16" i="15"/>
  <c r="J79" i="15" s="1"/>
  <c r="J80" i="15" s="1"/>
  <c r="R13" i="15"/>
  <c r="J74" i="15" s="1"/>
  <c r="J75" i="15" s="1"/>
  <c r="R10" i="15"/>
  <c r="J69" i="15" s="1"/>
  <c r="J70" i="15" s="1"/>
  <c r="R19" i="15"/>
  <c r="J84" i="15" s="1"/>
  <c r="J85" i="15" s="1"/>
  <c r="R22" i="15"/>
  <c r="J89" i="15" s="1"/>
  <c r="J90" i="15" s="1"/>
  <c r="E59" i="15"/>
  <c r="D94" i="15"/>
  <c r="P58" i="15"/>
  <c r="R58" i="15" s="1"/>
  <c r="J94" i="15" s="1"/>
  <c r="G65" i="6" s="1"/>
  <c r="O59" i="15"/>
  <c r="G10" i="30" l="1"/>
  <c r="G6" i="22" s="1"/>
  <c r="G8" i="30"/>
  <c r="D95" i="15"/>
  <c r="J95" i="15"/>
  <c r="E65" i="6"/>
  <c r="H65" i="6" s="1"/>
  <c r="P59" i="15"/>
  <c r="E53" i="30"/>
  <c r="E55" i="30" s="1"/>
  <c r="E58" i="30" s="1"/>
  <c r="E16" i="30"/>
  <c r="I16" i="30" s="1"/>
  <c r="E57" i="30"/>
  <c r="E21" i="30"/>
  <c r="E6" i="30"/>
  <c r="G98" i="6" l="1"/>
  <c r="E98" i="6"/>
  <c r="G9" i="22"/>
  <c r="G10" i="22"/>
  <c r="G34" i="33"/>
  <c r="G33" i="33"/>
  <c r="G18" i="30"/>
  <c r="E22" i="30"/>
  <c r="I22" i="30" s="1"/>
  <c r="I21" i="30"/>
  <c r="I6" i="30"/>
  <c r="G38" i="30"/>
  <c r="J96" i="15"/>
  <c r="R59" i="15"/>
  <c r="Q59" i="15"/>
  <c r="E59" i="30"/>
  <c r="E39" i="30"/>
  <c r="I39" i="30" s="1"/>
  <c r="E25" i="30"/>
  <c r="G37" i="22" l="1"/>
  <c r="G27" i="22"/>
  <c r="G16" i="22"/>
  <c r="G11" i="22"/>
  <c r="G35" i="33"/>
  <c r="E30" i="30"/>
  <c r="I25" i="30"/>
  <c r="G19" i="30"/>
  <c r="G63" i="6"/>
  <c r="D50" i="30"/>
  <c r="E15" i="30"/>
  <c r="G19" i="22" l="1"/>
  <c r="G20" i="22"/>
  <c r="G31" i="22"/>
  <c r="G30" i="22"/>
  <c r="G13" i="22"/>
  <c r="G40" i="22"/>
  <c r="G41" i="22"/>
  <c r="G37" i="33"/>
  <c r="G38" i="33"/>
  <c r="E7" i="30"/>
  <c r="I15" i="30"/>
  <c r="G35" i="30"/>
  <c r="G64" i="6" s="1"/>
  <c r="G66" i="6" s="1"/>
  <c r="E34" i="30"/>
  <c r="I34" i="30" s="1"/>
  <c r="I30" i="30"/>
  <c r="D51" i="30"/>
  <c r="E17" i="30"/>
  <c r="I17" i="30" s="1"/>
  <c r="E8" i="30"/>
  <c r="E10" i="30"/>
  <c r="E6" i="22" s="1"/>
  <c r="G28" i="33" l="1"/>
  <c r="G27" i="33" s="1"/>
  <c r="E9" i="22"/>
  <c r="E10" i="22"/>
  <c r="H10" i="22" s="1"/>
  <c r="H6" i="22"/>
  <c r="G34" i="22"/>
  <c r="G25" i="22"/>
  <c r="G42" i="22"/>
  <c r="G32" i="22"/>
  <c r="G4" i="22"/>
  <c r="G21" i="22"/>
  <c r="E18" i="30"/>
  <c r="I18" i="30" s="1"/>
  <c r="I8" i="30"/>
  <c r="I10" i="30"/>
  <c r="I7" i="30"/>
  <c r="F38" i="30"/>
  <c r="G153" i="6" l="1"/>
  <c r="G154" i="6" s="1"/>
  <c r="G159" i="6" s="1"/>
  <c r="G161" i="6" s="1"/>
  <c r="G164" i="6" s="1"/>
  <c r="E19" i="30"/>
  <c r="E50" i="22"/>
  <c r="E51" i="22"/>
  <c r="H47" i="22"/>
  <c r="E27" i="22"/>
  <c r="E16" i="22"/>
  <c r="G23" i="22"/>
  <c r="G24" i="22"/>
  <c r="G44" i="22"/>
  <c r="E11" i="22"/>
  <c r="H9" i="22"/>
  <c r="G61" i="6"/>
  <c r="I38" i="30"/>
  <c r="E35" i="30"/>
  <c r="I35" i="30" s="1"/>
  <c r="I19" i="30"/>
  <c r="C4" i="31"/>
  <c r="E38" i="30"/>
  <c r="B4" i="31" s="1"/>
  <c r="D38" i="30"/>
  <c r="H51" i="22" l="1"/>
  <c r="E52" i="22"/>
  <c r="H50" i="22"/>
  <c r="E19" i="22"/>
  <c r="E20" i="22"/>
  <c r="H20" i="22" s="1"/>
  <c r="H16" i="22"/>
  <c r="G35" i="22"/>
  <c r="E31" i="22"/>
  <c r="E30" i="22"/>
  <c r="H27" i="22"/>
  <c r="E13" i="22"/>
  <c r="H11" i="22"/>
  <c r="G14" i="22"/>
  <c r="E40" i="22"/>
  <c r="E41" i="22"/>
  <c r="H37" i="22"/>
  <c r="E64" i="6"/>
  <c r="H64" i="6" s="1"/>
  <c r="E30" i="33"/>
  <c r="H216" i="6"/>
  <c r="E212" i="6" l="1"/>
  <c r="E55" i="22"/>
  <c r="H55" i="22" s="1"/>
  <c r="E54" i="22"/>
  <c r="H52" i="22"/>
  <c r="K75" i="15"/>
  <c r="K80" i="15"/>
  <c r="K95" i="15"/>
  <c r="K70" i="15"/>
  <c r="G3" i="22"/>
  <c r="E32" i="22"/>
  <c r="H32" i="22" s="1"/>
  <c r="H30" i="22"/>
  <c r="K90" i="15"/>
  <c r="H41" i="22"/>
  <c r="E34" i="22"/>
  <c r="H34" i="22" s="1"/>
  <c r="E25" i="22"/>
  <c r="H25" i="22" s="1"/>
  <c r="H31" i="22"/>
  <c r="E66" i="6"/>
  <c r="D66" i="6" s="1"/>
  <c r="K85" i="15"/>
  <c r="E42" i="22"/>
  <c r="H40" i="22"/>
  <c r="E4" i="22"/>
  <c r="H13" i="22"/>
  <c r="E21" i="22"/>
  <c r="H19" i="22"/>
  <c r="H30" i="33"/>
  <c r="E34" i="33"/>
  <c r="E33" i="33"/>
  <c r="E214" i="6" l="1"/>
  <c r="E215" i="6" s="1"/>
  <c r="E217" i="6"/>
  <c r="H54" i="22"/>
  <c r="E45" i="22"/>
  <c r="H45" i="22" s="1"/>
  <c r="K96" i="15"/>
  <c r="H66" i="6"/>
  <c r="E23" i="22"/>
  <c r="H23" i="22" s="1"/>
  <c r="E24" i="22"/>
  <c r="H21" i="22"/>
  <c r="E44" i="22"/>
  <c r="H42" i="22"/>
  <c r="H4" i="22"/>
  <c r="H34" i="33"/>
  <c r="E35" i="33"/>
  <c r="H33" i="33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B7" i="20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E6" i="20"/>
  <c r="E14" i="22" l="1"/>
  <c r="H24" i="22"/>
  <c r="H44" i="22"/>
  <c r="E35" i="22"/>
  <c r="H35" i="22" s="1"/>
  <c r="E37" i="33"/>
  <c r="E38" i="33"/>
  <c r="H38" i="33" s="1"/>
  <c r="H35" i="33"/>
  <c r="E115" i="6"/>
  <c r="H115" i="6" s="1"/>
  <c r="E114" i="6"/>
  <c r="E174" i="6" s="1"/>
  <c r="E176" i="6" s="1"/>
  <c r="H14" i="22" l="1"/>
  <c r="E3" i="22"/>
  <c r="H37" i="33"/>
  <c r="E28" i="33"/>
  <c r="H114" i="6"/>
  <c r="E118" i="6"/>
  <c r="E120" i="6"/>
  <c r="H120" i="6" s="1"/>
  <c r="E119" i="6"/>
  <c r="H119" i="6" s="1"/>
  <c r="H118" i="6" l="1"/>
  <c r="E170" i="6"/>
  <c r="E171" i="6" s="1"/>
  <c r="G40" i="30"/>
  <c r="E40" i="30"/>
  <c r="H3" i="22"/>
  <c r="H28" i="33"/>
  <c r="E27" i="33"/>
  <c r="H176" i="6"/>
  <c r="H174" i="6"/>
  <c r="E225" i="6"/>
  <c r="H225" i="6" s="1"/>
  <c r="E153" i="6" l="1"/>
  <c r="H27" i="33"/>
  <c r="H171" i="6"/>
  <c r="H170" i="6"/>
  <c r="E18" i="6"/>
  <c r="E201" i="6" s="1"/>
  <c r="E202" i="6" s="1"/>
  <c r="E204" i="6" s="1"/>
  <c r="H153" i="6" l="1"/>
  <c r="E154" i="6"/>
  <c r="G43" i="6"/>
  <c r="E43" i="6"/>
  <c r="H18" i="6"/>
  <c r="E95" i="6"/>
  <c r="H95" i="6" s="1"/>
  <c r="E232" i="6"/>
  <c r="H231" i="6"/>
  <c r="E63" i="6"/>
  <c r="E61" i="6"/>
  <c r="H61" i="6" s="1"/>
  <c r="E159" i="6" l="1"/>
  <c r="H154" i="6"/>
  <c r="H204" i="6"/>
  <c r="H202" i="6"/>
  <c r="D63" i="6"/>
  <c r="H63" i="6"/>
  <c r="H201" i="6"/>
  <c r="E234" i="6"/>
  <c r="H234" i="6" s="1"/>
  <c r="H232" i="6"/>
  <c r="E44" i="6"/>
  <c r="E35" i="6"/>
  <c r="H35" i="6" s="1"/>
  <c r="H44" i="6" l="1"/>
  <c r="E45" i="6"/>
  <c r="E39" i="6"/>
  <c r="H39" i="6" s="1"/>
  <c r="E37" i="6"/>
  <c r="H37" i="6" s="1"/>
  <c r="E220" i="6" l="1"/>
  <c r="H220" i="6" s="1"/>
  <c r="H45" i="6"/>
  <c r="E46" i="6"/>
  <c r="H46" i="6" s="1"/>
  <c r="G44" i="15"/>
  <c r="E71" i="15" s="1"/>
  <c r="G47" i="15"/>
  <c r="E76" i="15" s="1"/>
  <c r="G41" i="15"/>
  <c r="E66" i="15" s="1"/>
  <c r="G53" i="15"/>
  <c r="E86" i="15" s="1"/>
  <c r="G50" i="15"/>
  <c r="E81" i="15" s="1"/>
  <c r="G14" i="15"/>
  <c r="E77" i="15" s="1"/>
  <c r="G56" i="15"/>
  <c r="E40" i="6"/>
  <c r="H40" i="6" s="1"/>
  <c r="E221" i="6" l="1"/>
  <c r="H221" i="6" s="1"/>
  <c r="H54" i="6"/>
  <c r="E91" i="15"/>
  <c r="H14" i="15"/>
  <c r="F77" i="15" s="1"/>
  <c r="H50" i="15"/>
  <c r="H56" i="15"/>
  <c r="H53" i="15"/>
  <c r="H47" i="15"/>
  <c r="H44" i="15"/>
  <c r="F71" i="15" s="1"/>
  <c r="H41" i="15"/>
  <c r="G45" i="15"/>
  <c r="G48" i="15"/>
  <c r="G42" i="15"/>
  <c r="G51" i="15"/>
  <c r="G54" i="15"/>
  <c r="G57" i="15"/>
  <c r="G17" i="15"/>
  <c r="E82" i="15" s="1"/>
  <c r="G23" i="15"/>
  <c r="E92" i="15" s="1"/>
  <c r="G20" i="15"/>
  <c r="E87" i="15" s="1"/>
  <c r="G11" i="15"/>
  <c r="G8" i="15"/>
  <c r="E67" i="15" s="1"/>
  <c r="I50" i="15" l="1"/>
  <c r="F81" i="15"/>
  <c r="I56" i="15"/>
  <c r="F91" i="15"/>
  <c r="I47" i="15"/>
  <c r="F76" i="15"/>
  <c r="H11" i="15"/>
  <c r="E72" i="15"/>
  <c r="I53" i="15"/>
  <c r="F86" i="15"/>
  <c r="I41" i="15"/>
  <c r="G66" i="15" s="1"/>
  <c r="F66" i="15"/>
  <c r="H20" i="15"/>
  <c r="F87" i="15" s="1"/>
  <c r="H23" i="15"/>
  <c r="F92" i="15" s="1"/>
  <c r="H8" i="15"/>
  <c r="F67" i="15" s="1"/>
  <c r="H17" i="15"/>
  <c r="F82" i="15" s="1"/>
  <c r="I14" i="15"/>
  <c r="G77" i="15" s="1"/>
  <c r="I44" i="15"/>
  <c r="G71" i="15" s="1"/>
  <c r="H45" i="15"/>
  <c r="H42" i="15"/>
  <c r="I42" i="15" s="1"/>
  <c r="H57" i="15"/>
  <c r="I57" i="15" s="1"/>
  <c r="H48" i="15"/>
  <c r="I48" i="15" s="1"/>
  <c r="H54" i="15"/>
  <c r="I54" i="15" s="1"/>
  <c r="H51" i="15"/>
  <c r="G43" i="15"/>
  <c r="G52" i="15"/>
  <c r="G49" i="15"/>
  <c r="G55" i="15"/>
  <c r="G46" i="15"/>
  <c r="G58" i="15"/>
  <c r="G22" i="15"/>
  <c r="G13" i="15"/>
  <c r="H13" i="15" s="1"/>
  <c r="I13" i="15" s="1"/>
  <c r="G12" i="15"/>
  <c r="H12" i="15" s="1"/>
  <c r="I12" i="15" s="1"/>
  <c r="G15" i="15"/>
  <c r="G21" i="15"/>
  <c r="G24" i="15"/>
  <c r="G18" i="15"/>
  <c r="G9" i="15"/>
  <c r="G59" i="15" l="1"/>
  <c r="H43" i="6"/>
  <c r="I51" i="15"/>
  <c r="G86" i="15"/>
  <c r="G81" i="15"/>
  <c r="I11" i="15"/>
  <c r="F72" i="15"/>
  <c r="G91" i="15"/>
  <c r="G76" i="15"/>
  <c r="H21" i="15"/>
  <c r="E88" i="15"/>
  <c r="H9" i="15"/>
  <c r="E68" i="15"/>
  <c r="H15" i="15"/>
  <c r="E78" i="15"/>
  <c r="E74" i="15"/>
  <c r="I23" i="15"/>
  <c r="G92" i="15" s="1"/>
  <c r="E73" i="15"/>
  <c r="I8" i="15"/>
  <c r="G67" i="15" s="1"/>
  <c r="I17" i="15"/>
  <c r="G82" i="15" s="1"/>
  <c r="H18" i="15"/>
  <c r="E83" i="15"/>
  <c r="H24" i="15"/>
  <c r="E93" i="15"/>
  <c r="H22" i="15"/>
  <c r="E89" i="15"/>
  <c r="I20" i="15"/>
  <c r="G87" i="15" s="1"/>
  <c r="I45" i="15"/>
  <c r="F73" i="15"/>
  <c r="H52" i="15"/>
  <c r="I52" i="15" s="1"/>
  <c r="H43" i="15"/>
  <c r="I43" i="15" s="1"/>
  <c r="H55" i="15"/>
  <c r="I55" i="15" s="1"/>
  <c r="H58" i="15"/>
  <c r="I58" i="15" s="1"/>
  <c r="H46" i="15"/>
  <c r="H49" i="15"/>
  <c r="I49" i="15" s="1"/>
  <c r="G25" i="15"/>
  <c r="G26" i="15" s="1"/>
  <c r="G10" i="15"/>
  <c r="G19" i="15"/>
  <c r="G16" i="15"/>
  <c r="H59" i="15" l="1"/>
  <c r="I59" i="15"/>
  <c r="E75" i="15"/>
  <c r="E90" i="15"/>
  <c r="G72" i="15"/>
  <c r="H10" i="15"/>
  <c r="E69" i="15"/>
  <c r="I24" i="15"/>
  <c r="F93" i="15"/>
  <c r="I9" i="15"/>
  <c r="F68" i="15"/>
  <c r="H19" i="15"/>
  <c r="E84" i="15"/>
  <c r="H25" i="15"/>
  <c r="H26" i="15" s="1"/>
  <c r="E94" i="15"/>
  <c r="H16" i="15"/>
  <c r="E79" i="15"/>
  <c r="I22" i="15"/>
  <c r="F89" i="15"/>
  <c r="I18" i="15"/>
  <c r="F83" i="15"/>
  <c r="I15" i="15"/>
  <c r="F78" i="15"/>
  <c r="I21" i="15"/>
  <c r="F88" i="15"/>
  <c r="I46" i="15"/>
  <c r="F74" i="15"/>
  <c r="G73" i="15"/>
  <c r="F75" i="15" l="1"/>
  <c r="E85" i="15"/>
  <c r="E80" i="15"/>
  <c r="E95" i="15"/>
  <c r="E70" i="15"/>
  <c r="F90" i="15"/>
  <c r="G83" i="15"/>
  <c r="I19" i="15"/>
  <c r="F84" i="15"/>
  <c r="I25" i="15"/>
  <c r="I26" i="15" s="1"/>
  <c r="F94" i="15"/>
  <c r="I10" i="15"/>
  <c r="F69" i="15"/>
  <c r="G78" i="15"/>
  <c r="I16" i="15"/>
  <c r="F79" i="15"/>
  <c r="G88" i="15"/>
  <c r="G89" i="15"/>
  <c r="G68" i="15"/>
  <c r="G93" i="15"/>
  <c r="G74" i="15"/>
  <c r="G75" i="15" s="1"/>
  <c r="E106" i="6" l="1"/>
  <c r="G106" i="6"/>
  <c r="E80" i="6"/>
  <c r="G80" i="6"/>
  <c r="G81" i="6" s="1"/>
  <c r="F123" i="15"/>
  <c r="F95" i="15"/>
  <c r="F80" i="15"/>
  <c r="F85" i="15"/>
  <c r="G90" i="15"/>
  <c r="F108" i="15"/>
  <c r="F118" i="15"/>
  <c r="F133" i="15"/>
  <c r="F125" i="15"/>
  <c r="F120" i="15"/>
  <c r="F130" i="15"/>
  <c r="F105" i="15"/>
  <c r="F115" i="15"/>
  <c r="F110" i="15"/>
  <c r="F116" i="15"/>
  <c r="F131" i="15"/>
  <c r="F121" i="15"/>
  <c r="F106" i="15"/>
  <c r="F126" i="15"/>
  <c r="F111" i="15"/>
  <c r="F112" i="15"/>
  <c r="F132" i="15"/>
  <c r="F122" i="15"/>
  <c r="F128" i="15"/>
  <c r="F117" i="15"/>
  <c r="F127" i="15"/>
  <c r="F113" i="15"/>
  <c r="F107" i="15"/>
  <c r="F70" i="15"/>
  <c r="G94" i="15"/>
  <c r="G95" i="15" s="1"/>
  <c r="G84" i="15"/>
  <c r="G85" i="15" s="1"/>
  <c r="G79" i="15"/>
  <c r="G80" i="15" s="1"/>
  <c r="G69" i="15"/>
  <c r="E82" i="6" l="1"/>
  <c r="G87" i="6"/>
  <c r="E87" i="6"/>
  <c r="G82" i="6"/>
  <c r="H106" i="6"/>
  <c r="E102" i="6"/>
  <c r="E103" i="6" s="1"/>
  <c r="G102" i="6"/>
  <c r="J113" i="15"/>
  <c r="J122" i="15"/>
  <c r="J126" i="15"/>
  <c r="J116" i="15"/>
  <c r="J130" i="15"/>
  <c r="J118" i="15"/>
  <c r="J127" i="15"/>
  <c r="J132" i="15"/>
  <c r="J106" i="15"/>
  <c r="J110" i="15"/>
  <c r="J120" i="15"/>
  <c r="J108" i="15"/>
  <c r="J117" i="15"/>
  <c r="J112" i="15"/>
  <c r="J121" i="15"/>
  <c r="J115" i="15"/>
  <c r="J125" i="15"/>
  <c r="J107" i="15"/>
  <c r="J128" i="15"/>
  <c r="J111" i="15"/>
  <c r="J131" i="15"/>
  <c r="J105" i="15"/>
  <c r="J133" i="15"/>
  <c r="J123" i="15"/>
  <c r="H98" i="6"/>
  <c r="G92" i="6"/>
  <c r="F119" i="15"/>
  <c r="F109" i="15"/>
  <c r="F114" i="15"/>
  <c r="F129" i="15"/>
  <c r="F124" i="15"/>
  <c r="F134" i="15"/>
  <c r="G70" i="15"/>
  <c r="J129" i="15" l="1"/>
  <c r="J119" i="15"/>
  <c r="J109" i="15"/>
  <c r="G103" i="6"/>
  <c r="H103" i="6" s="1"/>
  <c r="H102" i="6"/>
  <c r="J114" i="15"/>
  <c r="J136" i="15"/>
  <c r="J124" i="15"/>
  <c r="J134" i="15"/>
  <c r="H82" i="6"/>
  <c r="G83" i="6"/>
  <c r="G84" i="6" s="1"/>
  <c r="G85" i="6" s="1"/>
  <c r="E92" i="6"/>
  <c r="I134" i="15" s="1"/>
  <c r="H196" i="6"/>
  <c r="J137" i="15" l="1"/>
  <c r="J135" i="15" s="1"/>
  <c r="I117" i="15"/>
  <c r="I118" i="15"/>
  <c r="I115" i="15"/>
  <c r="I116" i="15"/>
  <c r="H190" i="6"/>
  <c r="G199" i="6"/>
  <c r="H199" i="6" s="1"/>
  <c r="G212" i="6" l="1"/>
  <c r="G214" i="6" s="1"/>
  <c r="G215" i="6" l="1"/>
  <c r="H212" i="6"/>
  <c r="H209" i="6"/>
  <c r="E161" i="6"/>
  <c r="H159" i="6"/>
  <c r="H214" i="6" l="1"/>
  <c r="G217" i="6"/>
  <c r="H217" i="6" s="1"/>
  <c r="H215" i="6"/>
  <c r="G42" i="30"/>
  <c r="G44" i="30" s="1"/>
  <c r="E162" i="6"/>
  <c r="E164" i="6"/>
  <c r="H164" i="6" s="1"/>
  <c r="E42" i="30"/>
  <c r="G45" i="30" l="1"/>
  <c r="G67" i="6"/>
  <c r="G68" i="6" s="1"/>
  <c r="I42" i="30"/>
  <c r="I40" i="30"/>
  <c r="E44" i="30"/>
  <c r="I44" i="30" s="1"/>
  <c r="B2" i="31"/>
  <c r="E67" i="6" l="1"/>
  <c r="E68" i="6" s="1"/>
  <c r="E45" i="30"/>
  <c r="I45" i="30" s="1"/>
  <c r="I121" i="15"/>
  <c r="J16" i="15"/>
  <c r="J19" i="15"/>
  <c r="J10" i="15"/>
  <c r="K10" i="15" s="1"/>
  <c r="J25" i="15"/>
  <c r="J13" i="15"/>
  <c r="J15" i="15"/>
  <c r="J9" i="15"/>
  <c r="J24" i="15"/>
  <c r="J18" i="15"/>
  <c r="J21" i="15"/>
  <c r="J22" i="15"/>
  <c r="J46" i="15"/>
  <c r="K46" i="15" s="1"/>
  <c r="J20" i="15"/>
  <c r="J45" i="15"/>
  <c r="K45" i="15" s="1"/>
  <c r="J17" i="15"/>
  <c r="H82" i="15" s="1"/>
  <c r="I82" i="15" s="1"/>
  <c r="J12" i="15"/>
  <c r="J51" i="15"/>
  <c r="K51" i="15" s="1"/>
  <c r="J23" i="15"/>
  <c r="J8" i="15"/>
  <c r="H67" i="15" s="1"/>
  <c r="I67" i="15" s="1"/>
  <c r="J11" i="15"/>
  <c r="H72" i="15" s="1"/>
  <c r="I72" i="15" s="1"/>
  <c r="J41" i="15"/>
  <c r="H66" i="15" s="1"/>
  <c r="J14" i="15"/>
  <c r="H77" i="15" s="1"/>
  <c r="I77" i="15" s="1"/>
  <c r="J44" i="15"/>
  <c r="J50" i="15"/>
  <c r="H81" i="15" s="1"/>
  <c r="J53" i="15"/>
  <c r="J47" i="15"/>
  <c r="H76" i="15" s="1"/>
  <c r="J56" i="15"/>
  <c r="K56" i="15" s="1"/>
  <c r="J55" i="15"/>
  <c r="K55" i="15" s="1"/>
  <c r="J43" i="15"/>
  <c r="K43" i="15" s="1"/>
  <c r="J58" i="15"/>
  <c r="K58" i="15" s="1"/>
  <c r="J49" i="15"/>
  <c r="K49" i="15" s="1"/>
  <c r="J52" i="15"/>
  <c r="K52" i="15" s="1"/>
  <c r="J48" i="15"/>
  <c r="K48" i="15" s="1"/>
  <c r="J57" i="15"/>
  <c r="K57" i="15" s="1"/>
  <c r="J54" i="15"/>
  <c r="K54" i="15" s="1"/>
  <c r="J42" i="15"/>
  <c r="K42" i="15" s="1"/>
  <c r="H68" i="6" l="1"/>
  <c r="H67" i="6"/>
  <c r="K44" i="15"/>
  <c r="H71" i="15"/>
  <c r="I71" i="15" s="1"/>
  <c r="H73" i="15"/>
  <c r="I73" i="15" s="1"/>
  <c r="K59" i="15"/>
  <c r="H91" i="15"/>
  <c r="I91" i="15" s="1"/>
  <c r="H89" i="15"/>
  <c r="I89" i="15" s="1"/>
  <c r="I120" i="15"/>
  <c r="I131" i="15"/>
  <c r="K8" i="15"/>
  <c r="H78" i="15"/>
  <c r="I78" i="15" s="1"/>
  <c r="I125" i="15"/>
  <c r="I106" i="15"/>
  <c r="H93" i="15"/>
  <c r="I93" i="15" s="1"/>
  <c r="I124" i="15"/>
  <c r="K14" i="15"/>
  <c r="K17" i="15"/>
  <c r="H79" i="15"/>
  <c r="I79" i="15" s="1"/>
  <c r="I114" i="15"/>
  <c r="I133" i="15"/>
  <c r="H69" i="15"/>
  <c r="I76" i="15"/>
  <c r="H68" i="15"/>
  <c r="I68" i="15" s="1"/>
  <c r="K9" i="15"/>
  <c r="I66" i="15"/>
  <c r="H92" i="15"/>
  <c r="I92" i="15" s="1"/>
  <c r="J26" i="15"/>
  <c r="K23" i="15"/>
  <c r="K53" i="15"/>
  <c r="H86" i="15"/>
  <c r="H87" i="15"/>
  <c r="I87" i="15" s="1"/>
  <c r="K20" i="15"/>
  <c r="H88" i="15"/>
  <c r="I88" i="15" s="1"/>
  <c r="K19" i="15"/>
  <c r="H84" i="15"/>
  <c r="I84" i="15" s="1"/>
  <c r="H94" i="15"/>
  <c r="I94" i="15" s="1"/>
  <c r="K25" i="15"/>
  <c r="I81" i="15"/>
  <c r="H83" i="15"/>
  <c r="I83" i="15" s="1"/>
  <c r="K18" i="15"/>
  <c r="K13" i="15"/>
  <c r="H74" i="15"/>
  <c r="I74" i="15" s="1"/>
  <c r="J59" i="15"/>
  <c r="K47" i="15"/>
  <c r="K50" i="15"/>
  <c r="K41" i="15"/>
  <c r="K11" i="15"/>
  <c r="K12" i="15"/>
  <c r="K22" i="15"/>
  <c r="K21" i="15"/>
  <c r="K24" i="15"/>
  <c r="K15" i="15"/>
  <c r="K16" i="15"/>
  <c r="I123" i="15"/>
  <c r="I128" i="15"/>
  <c r="I129" i="15"/>
  <c r="I112" i="15"/>
  <c r="I107" i="15"/>
  <c r="I113" i="15"/>
  <c r="I122" i="15"/>
  <c r="I105" i="15"/>
  <c r="I111" i="15"/>
  <c r="I126" i="15"/>
  <c r="I110" i="15"/>
  <c r="I108" i="15"/>
  <c r="I109" i="15"/>
  <c r="I127" i="15"/>
  <c r="I132" i="15"/>
  <c r="I130" i="15"/>
  <c r="I119" i="15"/>
  <c r="I69" i="15" l="1"/>
  <c r="I98" i="15" s="1"/>
  <c r="H98" i="15"/>
  <c r="H95" i="15"/>
  <c r="H80" i="15"/>
  <c r="I80" i="15" s="1"/>
  <c r="H70" i="15"/>
  <c r="K26" i="15"/>
  <c r="I137" i="15"/>
  <c r="I136" i="15"/>
  <c r="H90" i="15"/>
  <c r="I90" i="15" s="1"/>
  <c r="I86" i="15"/>
  <c r="H85" i="15"/>
  <c r="I85" i="15" s="1"/>
  <c r="H75" i="15"/>
  <c r="I75" i="15" s="1"/>
  <c r="G91" i="6" l="1"/>
  <c r="E91" i="6"/>
  <c r="H91" i="6" s="1"/>
  <c r="G116" i="6"/>
  <c r="G122" i="6"/>
  <c r="E116" i="6"/>
  <c r="E122" i="6"/>
  <c r="G117" i="6"/>
  <c r="H87" i="6"/>
  <c r="H92" i="6"/>
  <c r="I70" i="15"/>
  <c r="H96" i="15"/>
  <c r="I95" i="15"/>
  <c r="E172" i="6" s="1"/>
  <c r="E180" i="6" s="1"/>
  <c r="D181" i="6" s="1"/>
  <c r="I135" i="15"/>
  <c r="E121" i="6" l="1"/>
  <c r="G226" i="6"/>
  <c r="G229" i="6" s="1"/>
  <c r="G121" i="6"/>
  <c r="G172" i="6"/>
  <c r="G180" i="6" s="1"/>
  <c r="G133" i="6"/>
  <c r="G135" i="6" s="1"/>
  <c r="G129" i="6"/>
  <c r="G131" i="6" s="1"/>
  <c r="G123" i="6"/>
  <c r="G99" i="6" s="1"/>
  <c r="H122" i="6"/>
  <c r="E117" i="6"/>
  <c r="H117" i="6" s="1"/>
  <c r="H116" i="6"/>
  <c r="E133" i="6"/>
  <c r="E129" i="6"/>
  <c r="E123" i="6"/>
  <c r="E124" i="6" s="1"/>
  <c r="I96" i="15"/>
  <c r="I97" i="15" s="1"/>
  <c r="H97" i="15"/>
  <c r="H123" i="6" l="1"/>
  <c r="G137" i="6"/>
  <c r="G142" i="6" s="1"/>
  <c r="H223" i="6"/>
  <c r="H167" i="6"/>
  <c r="H121" i="6"/>
  <c r="E131" i="6"/>
  <c r="H131" i="6" s="1"/>
  <c r="H129" i="6"/>
  <c r="E135" i="6"/>
  <c r="H135" i="6" s="1"/>
  <c r="H133" i="6"/>
  <c r="H172" i="6"/>
  <c r="E99" i="6"/>
  <c r="E226" i="6"/>
  <c r="E236" i="6" l="1"/>
  <c r="D99" i="6"/>
  <c r="H99" i="6"/>
  <c r="E137" i="6"/>
  <c r="H124" i="6"/>
  <c r="E229" i="6"/>
  <c r="H229" i="6" s="1"/>
  <c r="H226" i="6"/>
  <c r="H180" i="6"/>
  <c r="E142" i="6" l="1"/>
  <c r="H137" i="6"/>
  <c r="D143" i="6" l="1"/>
  <c r="H142" i="6"/>
  <c r="G236" i="6" l="1"/>
  <c r="H161" i="6"/>
  <c r="G162" i="6"/>
  <c r="H162" i="6" s="1"/>
  <c r="H236" i="6" l="1"/>
  <c r="E81" i="6"/>
  <c r="H80" i="6"/>
  <c r="G134" i="15"/>
  <c r="G123" i="15" s="1"/>
  <c r="D81" i="6" l="1"/>
  <c r="E83" i="6"/>
  <c r="G117" i="15"/>
  <c r="H81" i="6"/>
  <c r="G125" i="15"/>
  <c r="G116" i="15"/>
  <c r="G114" i="15"/>
  <c r="G107" i="15"/>
  <c r="G120" i="15"/>
  <c r="G106" i="15"/>
  <c r="G108" i="15"/>
  <c r="G119" i="15"/>
  <c r="G128" i="15"/>
  <c r="G132" i="15"/>
  <c r="G113" i="15"/>
  <c r="G118" i="15"/>
  <c r="G130" i="15"/>
  <c r="G105" i="15"/>
  <c r="G109" i="15"/>
  <c r="G121" i="15"/>
  <c r="G112" i="15"/>
  <c r="G127" i="15"/>
  <c r="G126" i="15"/>
  <c r="G124" i="15"/>
  <c r="G131" i="15"/>
  <c r="G122" i="15"/>
  <c r="G129" i="15"/>
  <c r="G115" i="15"/>
  <c r="G110" i="15"/>
  <c r="G133" i="15"/>
  <c r="G111" i="15"/>
  <c r="D83" i="6" l="1"/>
  <c r="E84" i="6"/>
  <c r="H83" i="6"/>
  <c r="G136" i="15"/>
  <c r="G137" i="15"/>
  <c r="E85" i="6" l="1"/>
  <c r="H84" i="6"/>
  <c r="G135" i="15"/>
  <c r="H133" i="15" l="1"/>
  <c r="H115" i="15"/>
  <c r="H123" i="15"/>
  <c r="H106" i="15"/>
  <c r="H128" i="15"/>
  <c r="H85" i="6"/>
  <c r="H127" i="15"/>
  <c r="H132" i="15"/>
  <c r="H110" i="15"/>
  <c r="H120" i="15"/>
  <c r="H117" i="15"/>
  <c r="H108" i="15"/>
  <c r="H131" i="15"/>
  <c r="H118" i="15"/>
  <c r="H111" i="15"/>
  <c r="H130" i="15"/>
  <c r="H116" i="15"/>
  <c r="H126" i="15"/>
  <c r="H125" i="15"/>
  <c r="H121" i="15"/>
  <c r="H107" i="15"/>
  <c r="H112" i="15"/>
  <c r="H105" i="15"/>
  <c r="H113" i="15"/>
  <c r="H122" i="15"/>
  <c r="H134" i="15" l="1"/>
  <c r="H109" i="15"/>
  <c r="H136" i="15"/>
  <c r="H129" i="15"/>
  <c r="H124" i="15"/>
  <c r="H119" i="15"/>
  <c r="H114" i="15"/>
  <c r="E75" i="6" l="1"/>
  <c r="G75" i="6"/>
  <c r="H75" i="6" s="1"/>
  <c r="H137" i="15"/>
  <c r="G74" i="6" l="1"/>
  <c r="E74" i="6"/>
  <c r="H135" i="15"/>
  <c r="H74" i="6"/>
</calcChain>
</file>

<file path=xl/sharedStrings.xml><?xml version="1.0" encoding="utf-8"?>
<sst xmlns="http://schemas.openxmlformats.org/spreadsheetml/2006/main" count="1366" uniqueCount="600">
  <si>
    <t>Variables Principales de Entrada</t>
  </si>
  <si>
    <t>Indicadores de Control</t>
  </si>
  <si>
    <t>m</t>
  </si>
  <si>
    <t>m2</t>
  </si>
  <si>
    <t>m/s</t>
  </si>
  <si>
    <t>hv</t>
  </si>
  <si>
    <t xml:space="preserve">m </t>
  </si>
  <si>
    <t>u</t>
  </si>
  <si>
    <t>Diámetro de Orificio</t>
  </si>
  <si>
    <t>mm</t>
  </si>
  <si>
    <t>Area de Flujo por Perforación</t>
  </si>
  <si>
    <t>mm2</t>
  </si>
  <si>
    <t>Kg O2/Kw-h</t>
  </si>
  <si>
    <t>Coeficiente de Descarga</t>
  </si>
  <si>
    <t>Cd</t>
  </si>
  <si>
    <t>Lps</t>
  </si>
  <si>
    <t>Caudal por Parrilla</t>
  </si>
  <si>
    <t>Q</t>
  </si>
  <si>
    <t>P</t>
  </si>
  <si>
    <t>Kw</t>
  </si>
  <si>
    <t>Cst</t>
  </si>
  <si>
    <t>mg/L</t>
  </si>
  <si>
    <t xml:space="preserve"> α</t>
  </si>
  <si>
    <t>m3</t>
  </si>
  <si>
    <t>m3/h</t>
  </si>
  <si>
    <t>pg</t>
  </si>
  <si>
    <t xml:space="preserve">Cabeza de Velocidad </t>
  </si>
  <si>
    <t xml:space="preserve">Longitud  </t>
  </si>
  <si>
    <t>kg/m3</t>
  </si>
  <si>
    <t>Perdidas de Cabeza en Tubería</t>
  </si>
  <si>
    <t>Accesorios</t>
  </si>
  <si>
    <t>Kg/m3</t>
  </si>
  <si>
    <t>Altitud</t>
  </si>
  <si>
    <t>msnm</t>
  </si>
  <si>
    <t>Temperatura</t>
  </si>
  <si>
    <t>T°C</t>
  </si>
  <si>
    <t>oC</t>
  </si>
  <si>
    <t>Presion a Nivel del Mar</t>
  </si>
  <si>
    <t>kPa</t>
  </si>
  <si>
    <t>Factor de Presión</t>
  </si>
  <si>
    <t>Presión en el Sitio</t>
  </si>
  <si>
    <t>https://www.engineeringtoolbox.com/pvc-cpvc-pipes-dimensions-d_795.html</t>
  </si>
  <si>
    <t>1/2"</t>
  </si>
  <si>
    <t xml:space="preserve">u </t>
  </si>
  <si>
    <t>Vt</t>
  </si>
  <si>
    <t>GPM</t>
  </si>
  <si>
    <t>Largo Ranura</t>
  </si>
  <si>
    <t>Ancho Ranura</t>
  </si>
  <si>
    <t>Area Ranura</t>
  </si>
  <si>
    <t>Kg O2/hora</t>
  </si>
  <si>
    <t>Diferencia de Altura</t>
  </si>
  <si>
    <t>Total Cabeza de Bombeo</t>
  </si>
  <si>
    <t>Eficiencia de Bombeo</t>
  </si>
  <si>
    <t>Curva Característica de la Bomba</t>
  </si>
  <si>
    <t>Potencia de Bombeo</t>
  </si>
  <si>
    <t>HP</t>
  </si>
  <si>
    <t>Marca</t>
  </si>
  <si>
    <t>Modelo</t>
  </si>
  <si>
    <t>Ø Rotor</t>
  </si>
  <si>
    <t>Vel. Motor RPM</t>
  </si>
  <si>
    <t>Potencia de Motor de Diseño</t>
  </si>
  <si>
    <t>Eficiencia</t>
  </si>
  <si>
    <t>Conexiones</t>
  </si>
  <si>
    <t>Velocidad en Perforaciones</t>
  </si>
  <si>
    <t>Area de Garganta</t>
  </si>
  <si>
    <t>Velocidad  de Flujo en Garganta</t>
  </si>
  <si>
    <t>Cabeza de Velocidad en Garganta</t>
  </si>
  <si>
    <t>Diametro Interior de Tubo Transversal</t>
  </si>
  <si>
    <t xml:space="preserve"> β</t>
  </si>
  <si>
    <t>Potencia de Bombeo en Cable</t>
  </si>
  <si>
    <t>horas</t>
  </si>
  <si>
    <t>Diametro</t>
  </si>
  <si>
    <t>Engorde</t>
  </si>
  <si>
    <t>Levante</t>
  </si>
  <si>
    <t>Alevinos</t>
  </si>
  <si>
    <t>Toneladas anuales</t>
  </si>
  <si>
    <t>Kw-hora/año</t>
  </si>
  <si>
    <t>ETAPA</t>
  </si>
  <si>
    <t>gr</t>
  </si>
  <si>
    <t>Kg</t>
  </si>
  <si>
    <t>Kw-h/año</t>
  </si>
  <si>
    <t>w/m3</t>
  </si>
  <si>
    <t>Kg/día</t>
  </si>
  <si>
    <t>Contenido de NH4 en Urea</t>
  </si>
  <si>
    <t>días</t>
  </si>
  <si>
    <t>No de Tuberías</t>
  </si>
  <si>
    <t xml:space="preserve">Caudal </t>
  </si>
  <si>
    <t>Porcentaje de Bagazo Seco en la Caña</t>
  </si>
  <si>
    <t>Porcentaje de Sacarosa del Jugo de Caña</t>
  </si>
  <si>
    <t>Porcentaje de Sacarosa en la Caña</t>
  </si>
  <si>
    <t>Kg /día</t>
  </si>
  <si>
    <t>kg/h</t>
  </si>
  <si>
    <t>Tiempo para Procesar Caña por Jornada</t>
  </si>
  <si>
    <t>Potencia de Trapiche</t>
  </si>
  <si>
    <t>Potencia de Picapastos</t>
  </si>
  <si>
    <t>Tiempo de Compostaje</t>
  </si>
  <si>
    <t>Area de cada Lecho</t>
  </si>
  <si>
    <t>Cantidad de Caña a Suministrar</t>
  </si>
  <si>
    <t>Productividad de la Caña</t>
  </si>
  <si>
    <t>Ton/ha-año</t>
  </si>
  <si>
    <t>Kg /día*ha</t>
  </si>
  <si>
    <t>Has</t>
  </si>
  <si>
    <t>Area Requedida de la Planta Piscícola</t>
  </si>
  <si>
    <t>Otra Areas</t>
  </si>
  <si>
    <t>Area Total Requerida</t>
  </si>
  <si>
    <t>Fuente</t>
  </si>
  <si>
    <t>m3/año</t>
  </si>
  <si>
    <t>Caudal por Boquilla</t>
  </si>
  <si>
    <t>No de Boquillas por Parrilla</t>
  </si>
  <si>
    <t>Potencia Hidráulica por Boquilla</t>
  </si>
  <si>
    <t>Porcentaje de Nitrógeno en Proteina</t>
  </si>
  <si>
    <t>Total de Carbohidratos en la Caña</t>
  </si>
  <si>
    <t>SEMANA</t>
  </si>
  <si>
    <t>Contenido de Vitamina C en Jugo de Caña</t>
  </si>
  <si>
    <t>g/L</t>
  </si>
  <si>
    <t>m3/jornada</t>
  </si>
  <si>
    <t>Perdidas de Cabeza</t>
  </si>
  <si>
    <t>Consumo Anual de Energía por Bomba del Pozo</t>
  </si>
  <si>
    <t>12 a 16%</t>
  </si>
  <si>
    <t>Proporción de Hojas y Cogollos respecto al Bagazo Seco</t>
  </si>
  <si>
    <t>Peso Final por Tilapia</t>
  </si>
  <si>
    <t>Control</t>
  </si>
  <si>
    <t>Diámetro de Eje</t>
  </si>
  <si>
    <t>Caudal de Riego del Compostaje</t>
  </si>
  <si>
    <t>No de Aspersores por Tuberìa</t>
  </si>
  <si>
    <t>No de Aspersores</t>
  </si>
  <si>
    <t>Cabeza de Velocidad en Aspersores</t>
  </si>
  <si>
    <t>Caudal por Aspersor</t>
  </si>
  <si>
    <t>Parametros de la Boquilla</t>
  </si>
  <si>
    <t>Transferencia de Oxígeno por Parrilla</t>
  </si>
  <si>
    <t>Ph</t>
  </si>
  <si>
    <t>Bell Gosset</t>
  </si>
  <si>
    <t>kW</t>
  </si>
  <si>
    <t>Kg/jor</t>
  </si>
  <si>
    <t>% de Proteína en Alimento</t>
  </si>
  <si>
    <t>PROGRAMACION DE OXIGENO Y EXCRESIÓN DE NITRÓGENO</t>
  </si>
  <si>
    <t>Carbohidratos a Suministrar</t>
  </si>
  <si>
    <t>Ancho Total de Lechos</t>
  </si>
  <si>
    <t>Caudal en Fitro Percolador</t>
  </si>
  <si>
    <t>C/N</t>
  </si>
  <si>
    <t>Caudal de Diseño de los Estanques</t>
  </si>
  <si>
    <t>Kg N/día</t>
  </si>
  <si>
    <t>Altura del Muro</t>
  </si>
  <si>
    <t>kg/jornada</t>
  </si>
  <si>
    <t>Tasa de Vitamina C Máxima Requerida</t>
  </si>
  <si>
    <t>Cantidad Máxima de Vitamina C Requerida</t>
  </si>
  <si>
    <t>Caña a Suministrar por Jornada</t>
  </si>
  <si>
    <t>Peso Final de Peces</t>
  </si>
  <si>
    <t xml:space="preserve">Peso Final   por Pez    </t>
  </si>
  <si>
    <t>Cabeza de Bombeo</t>
  </si>
  <si>
    <t xml:space="preserve">Diferencia de Altura </t>
  </si>
  <si>
    <t>Concentración de OD Media en el Estanque</t>
  </si>
  <si>
    <t>g CaCO3/g NH4</t>
  </si>
  <si>
    <t xml:space="preserve">Factor de Correcciòn por Salinidad y Tensión Superficial </t>
  </si>
  <si>
    <t>Eficiencia en Transferencia de O2 en Condiciones Estándar   SOTE</t>
  </si>
  <si>
    <t>Transferencia de O2 en Condiciones Estándar por Parrilla      SOTR</t>
  </si>
  <si>
    <t>Ecuación A-3</t>
  </si>
  <si>
    <t xml:space="preserve">Características del Sistema de Aireación </t>
  </si>
  <si>
    <t>Ton/año</t>
  </si>
  <si>
    <t>Porcentaje de Hojas y Cogollos en Carbohidratos de la Caña</t>
  </si>
  <si>
    <t>Volumen de Agua por Par de Estanques</t>
  </si>
  <si>
    <t>Caudal Mínimo de la Fuente Requerido</t>
  </si>
  <si>
    <t>7"</t>
  </si>
  <si>
    <t>5" x 4"</t>
  </si>
  <si>
    <t>e-1531 4AD</t>
  </si>
  <si>
    <t>Relación entre Compost producido y Peso de Caña</t>
  </si>
  <si>
    <t>Peso Seco del Compost Producido como Proporcion de la Caña</t>
  </si>
  <si>
    <t>bagazo  + biomasa</t>
  </si>
  <si>
    <t>Relación entre Biomasa producida y Carbohidratos suministrados</t>
  </si>
  <si>
    <t>Consumo de Energía por Trapiche</t>
  </si>
  <si>
    <t>kW-h/año</t>
  </si>
  <si>
    <t>Consumo de Energía por Picapastos</t>
  </si>
  <si>
    <t>Porcentaje Máximo de Humedad en el Compost</t>
  </si>
  <si>
    <t>mg/Kg peces - día</t>
  </si>
  <si>
    <t>Energìa Especìfica para Mezcla calculada</t>
  </si>
  <si>
    <t>Energìa Especìfica para Mezcla requerida</t>
  </si>
  <si>
    <t>&lt; 10</t>
  </si>
  <si>
    <t>°C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</si>
  <si>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</si>
  <si>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</si>
  <si>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</si>
  <si>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</si>
  <si>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</si>
  <si>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r>
      <t xml:space="preserve">Viscosidad Cinemática </t>
    </r>
    <r>
      <rPr>
        <b/>
        <sz val="11"/>
        <color rgb="FF000000"/>
        <rFont val="GreekC"/>
      </rPr>
      <t>J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</si>
  <si>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</si>
  <si>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Densidad </t>
    </r>
    <r>
      <rPr>
        <b/>
        <sz val="11"/>
        <color rgb="FF000000"/>
        <rFont val="GreekC"/>
      </rPr>
      <t>r</t>
    </r>
  </si>
  <si>
    <t>Temperatura T</t>
  </si>
  <si>
    <t>Concentración de Saturación de O2  para T y salinidad a nivel del mar  C(s,T)</t>
  </si>
  <si>
    <t>Presión de Vapor Hv</t>
  </si>
  <si>
    <t>Area Interceptada por Tubo Transversal</t>
  </si>
  <si>
    <t>SOTE</t>
  </si>
  <si>
    <t>SOTR</t>
  </si>
  <si>
    <t>AOTR</t>
  </si>
  <si>
    <t xml:space="preserve">Transferencia de Oxígeno en Condiciones de Terreno por Parrilla </t>
  </si>
  <si>
    <t>Clasificación de la Información</t>
  </si>
  <si>
    <t>Parámetros de Diseño Asumidos</t>
  </si>
  <si>
    <t>Parámetros y Datos de Diseño Calculados</t>
  </si>
  <si>
    <t>Calculo Alterno</t>
  </si>
  <si>
    <t>Diferencia</t>
  </si>
  <si>
    <t>Pérdidas Totales:</t>
  </si>
  <si>
    <t>Ramal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</si>
  <si>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</si>
  <si>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</si>
  <si>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</si>
  <si>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</si>
  <si>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Velocidad Media </t>
  </si>
  <si>
    <t>Km</t>
  </si>
  <si>
    <t>Cantidad</t>
  </si>
  <si>
    <t>PEAD</t>
  </si>
  <si>
    <t>Tee con salida lateral</t>
  </si>
  <si>
    <t>Codo  de radio corto</t>
  </si>
  <si>
    <t xml:space="preserve">Caudal  </t>
  </si>
  <si>
    <t>Tee  con entrada lateral</t>
  </si>
  <si>
    <t>Salida de Descarga de Bomba</t>
  </si>
  <si>
    <t>Entrada de Succión de Bomba</t>
  </si>
  <si>
    <t>Manguera que conecta a Estanque</t>
  </si>
  <si>
    <t>Codos a 45°</t>
  </si>
  <si>
    <t xml:space="preserve">Parrilla de Aireación </t>
  </si>
  <si>
    <t>Tee en setido recto</t>
  </si>
  <si>
    <t>Pérdidas de Cabeza en la Boquilla</t>
  </si>
  <si>
    <t>Taco</t>
  </si>
  <si>
    <t>Modelo 4007</t>
  </si>
  <si>
    <t>2, HP</t>
  </si>
  <si>
    <t>Salinidad del Agua</t>
  </si>
  <si>
    <t>gr/L</t>
  </si>
  <si>
    <t>Altura de la Garganta</t>
  </si>
  <si>
    <t>Tipo K</t>
  </si>
  <si>
    <t>Area de Entradas de Aire al Tubo Transversal</t>
  </si>
  <si>
    <t>Relación de Areas de Garganta y de Ranura</t>
  </si>
  <si>
    <t>Saturación de O2 en Condiciones Standard (nivel del mar y 20°C)</t>
  </si>
  <si>
    <t>Mazzei Aeration (Ref. A-13)</t>
  </si>
  <si>
    <t>Metcalf &amp; Eddy. (Ref. A-1) para ARD</t>
  </si>
  <si>
    <t>Cálculo del Compostaje</t>
  </si>
  <si>
    <t>Relación C/N para Asimilación del Nitrógeno</t>
  </si>
  <si>
    <t>D = 2*H</t>
  </si>
  <si>
    <t>Estequiometría Ecuación C-1</t>
  </si>
  <si>
    <t>No de Boquillas para Mezcla</t>
  </si>
  <si>
    <t xml:space="preserve">Tubería de Salida de Estanques </t>
  </si>
  <si>
    <t>N</t>
  </si>
  <si>
    <t>Factor Tranferencia de O2 en Condiciones Reales</t>
  </si>
  <si>
    <t>Diámetro Equivalente de la Boquilla</t>
  </si>
  <si>
    <t>Tee  con salida lateral</t>
  </si>
  <si>
    <t>Valvula de Cheque Bola o Cortina</t>
  </si>
  <si>
    <t>Pt</t>
  </si>
  <si>
    <t>Concentración de Saturación de O2 en el Terreno</t>
  </si>
  <si>
    <t xml:space="preserve">Concentración de Saturación de O2  para Temperatura </t>
  </si>
  <si>
    <t>Concentración de Saturación de O2  para Temperatura  y Altitud</t>
  </si>
  <si>
    <t>Pérdidas de Cabeza en Tuberías de Descarga</t>
  </si>
  <si>
    <r>
      <t>Cs</t>
    </r>
    <r>
      <rPr>
        <vertAlign val="subscript"/>
        <sz val="11"/>
        <rFont val="Arial"/>
        <family val="2"/>
      </rPr>
      <t xml:space="preserve">T </t>
    </r>
  </si>
  <si>
    <r>
      <t>Cs</t>
    </r>
    <r>
      <rPr>
        <vertAlign val="subscript"/>
        <sz val="11"/>
        <rFont val="Arial"/>
        <family val="2"/>
      </rPr>
      <t xml:space="preserve">TA </t>
    </r>
  </si>
  <si>
    <t>Densidad del Bagazo Picado</t>
  </si>
  <si>
    <t>Volumen Máximo de Bagazo Picado por Jornada</t>
  </si>
  <si>
    <t xml:space="preserve">Capacidad del Picapastos </t>
  </si>
  <si>
    <t>Diferencia de Altura Estanques - Aspersores</t>
  </si>
  <si>
    <t>Caudal  Total</t>
  </si>
  <si>
    <t>Calcullar con Función Objetivo</t>
  </si>
  <si>
    <t>Ramal hacia a Aspersores</t>
  </si>
  <si>
    <t>Tubería de Distribución</t>
  </si>
  <si>
    <t>Valvula de Compuerta Abierta</t>
  </si>
  <si>
    <t>Tee  en Sentido Recto</t>
  </si>
  <si>
    <t>No de Boquillas en Estanques</t>
  </si>
  <si>
    <t>Factor de Utilización de la Bomba de Recirculación</t>
  </si>
  <si>
    <t>Caudal por Boquillas de Mezcla</t>
  </si>
  <si>
    <t>Bombeo de Recirculación desde Pozo hacia Estanques</t>
  </si>
  <si>
    <t xml:space="preserve">Relación de Areas de Entradas al Tubo y de la Ranura </t>
  </si>
  <si>
    <t>Area Interior del Tubo de Agua</t>
  </si>
  <si>
    <r>
      <rPr>
        <b/>
        <sz val="11"/>
        <rFont val="GreekC"/>
      </rPr>
      <t>∅</t>
    </r>
    <r>
      <rPr>
        <sz val="11"/>
        <rFont val="Arial"/>
        <family val="2"/>
      </rPr>
      <t xml:space="preserve"> ¨1/4" tipo K</t>
    </r>
  </si>
  <si>
    <t>Diámetro Externo del Tubo Transversal  de Aire</t>
  </si>
  <si>
    <t>Area de las Gargantas</t>
  </si>
  <si>
    <t>Potencia Hidráulica por Parrilla</t>
  </si>
  <si>
    <t>Bombeo de Aireación en Estanques</t>
  </si>
  <si>
    <t xml:space="preserve">Alimento como % del Peso </t>
  </si>
  <si>
    <t>Manual  de Compostaje FAO (Ref. B-45)</t>
  </si>
  <si>
    <t>Lado Interior de la Boquilla</t>
  </si>
  <si>
    <t>H</t>
  </si>
  <si>
    <t>TACO Modelo 4007 Rotor 7"</t>
  </si>
  <si>
    <t>Bell &amp; Gosset e-1531 Rotor 7"</t>
  </si>
  <si>
    <t>Cabeza de Diseño:</t>
  </si>
  <si>
    <t xml:space="preserve">       Alternativas de Bombas</t>
  </si>
  <si>
    <t>Caudal de Diseño:</t>
  </si>
  <si>
    <t>Hoja "Parrilla de Aireación"</t>
  </si>
  <si>
    <t>Hoja "Tuberías Varias"</t>
  </si>
  <si>
    <t>Hoja "Tuberias de Aireación Estanques "</t>
  </si>
  <si>
    <t>Hoja "Agua-T(°C)</t>
  </si>
  <si>
    <t>Variable de Ajuste</t>
  </si>
  <si>
    <t>Hoja "Suministro de Alimento y O2"</t>
  </si>
  <si>
    <t>Profundidad de Aireación</t>
  </si>
  <si>
    <t>Penetración Adicional del Chorrro</t>
  </si>
  <si>
    <t>Profundidad de las Boquillas a 45°</t>
  </si>
  <si>
    <t xml:space="preserve">Profundidad Mínima </t>
  </si>
  <si>
    <t xml:space="preserve">Perdidas </t>
  </si>
  <si>
    <t>Sistema de Riego  de Lecho de Compostaje</t>
  </si>
  <si>
    <t>Tramo 1</t>
  </si>
  <si>
    <t>Ramales</t>
  </si>
  <si>
    <t xml:space="preserve">Tubería de Succión </t>
  </si>
  <si>
    <t>Longitud del Tramo</t>
  </si>
  <si>
    <t>Caudal de Entrada por Tramo</t>
  </si>
  <si>
    <t>Tramo</t>
  </si>
  <si>
    <t>Caudal Inicial</t>
  </si>
  <si>
    <t>Tubería de Distribución en Lecho de Compostaje</t>
  </si>
  <si>
    <t>Bombeo desde Pozo de Nutrientes a Compostaje</t>
  </si>
  <si>
    <t>Km =</t>
  </si>
  <si>
    <t>Area Seccional</t>
  </si>
  <si>
    <t>No de Tramos</t>
  </si>
  <si>
    <t>Tee  en Setido Recto</t>
  </si>
  <si>
    <t xml:space="preserve">CALCULO DE PARRILLA DE AIREACION CON BOQUILLAS DE TUBO TRANSVERSAL </t>
  </si>
  <si>
    <t xml:space="preserve">Factor de Corrección de Transferencia de O2 </t>
  </si>
  <si>
    <t>semanas</t>
  </si>
  <si>
    <t>Tiempo de Cria por Etapa</t>
  </si>
  <si>
    <t>Cosechas por Año</t>
  </si>
  <si>
    <t>u/m2</t>
  </si>
  <si>
    <t>No de Jaulas para Camarones</t>
  </si>
  <si>
    <t>Volumen de cada Jaula</t>
  </si>
  <si>
    <t>Volumen de Jaulas</t>
  </si>
  <si>
    <t>No Final de Camarones</t>
  </si>
  <si>
    <t>Producción de Camarón por Cosecha</t>
  </si>
  <si>
    <t>Kg/cosecha</t>
  </si>
  <si>
    <t>Kg/m2 -año</t>
  </si>
  <si>
    <t>Máxima Carga de Camarones en Estanque de Engorde</t>
  </si>
  <si>
    <t>No de Camarones por Tilapia</t>
  </si>
  <si>
    <t>No de Jaulas para Tilapias</t>
  </si>
  <si>
    <t>No de Tilapias por Jaula</t>
  </si>
  <si>
    <t>Máxima Carga de Tilapias en Estanque de Engorde</t>
  </si>
  <si>
    <t>Kg/m2</t>
  </si>
  <si>
    <t>No de Etapas</t>
  </si>
  <si>
    <t>No Total de Jaulas</t>
  </si>
  <si>
    <t>Densidad de Larvas en Jaulas</t>
  </si>
  <si>
    <t>PLANTA PARAB PARA POLICULTIVO DE CAMARONES Y TILAPIAS</t>
  </si>
  <si>
    <t xml:space="preserve">Peso Total de Tilapias cosechadas </t>
  </si>
  <si>
    <t>Cantidad Diaria Máxima de Caña Suministrar</t>
  </si>
  <si>
    <t>Suministro de Caña</t>
  </si>
  <si>
    <t>Total Nitrógeno a Suministrar</t>
  </si>
  <si>
    <t>Post Larvas</t>
  </si>
  <si>
    <t>Tasa de Supervivencia por Etapa</t>
  </si>
  <si>
    <t>Tasa de Supervivencia en Ciclo</t>
  </si>
  <si>
    <t>Post Lavas</t>
  </si>
  <si>
    <t>Pureza de la Cal</t>
  </si>
  <si>
    <t>Aporte de Alcalinidad por Gramo de Cal Comercial</t>
  </si>
  <si>
    <t>gramos</t>
  </si>
  <si>
    <t>Numeral D-6.1</t>
  </si>
  <si>
    <t>No Inicial de Tilapias</t>
  </si>
  <si>
    <t>No de Tilapias en 2a Etapa</t>
  </si>
  <si>
    <t>No de Tilapias en 3a Etapa</t>
  </si>
  <si>
    <t>No Final de Tilapias</t>
  </si>
  <si>
    <t>Peso Final de Peces y Camarones</t>
  </si>
  <si>
    <t>TOTAL</t>
  </si>
  <si>
    <t>Total Compost a Suministrar por Jornada</t>
  </si>
  <si>
    <t>Tiempo para Picar Caña por Día</t>
  </si>
  <si>
    <t>Cantidad Máxima de Jugo de Caña por Día</t>
  </si>
  <si>
    <t>Requerimiento Máximo de Alcalinidad</t>
  </si>
  <si>
    <t>Cantidad Máxima de Vitamina C Suministrada en Jugo</t>
  </si>
  <si>
    <t>Altura del Bagazo Picado</t>
  </si>
  <si>
    <t>Porcentaje del Alimento Máximo</t>
  </si>
  <si>
    <t>gr/Jor</t>
  </si>
  <si>
    <t>Urea</t>
  </si>
  <si>
    <t>Producción de Camarones y Tilapias</t>
  </si>
  <si>
    <t>Valores Máximos</t>
  </si>
  <si>
    <t>Cantidad Máxima de Bagazo y Hojas por Jornada</t>
  </si>
  <si>
    <t>Volumen de Compost Producido por Jornada</t>
  </si>
  <si>
    <t>Cantidad Máxima de Compost  por Jornada</t>
  </si>
  <si>
    <t>Manual  de Compostaje FAO (Ref. B-49)</t>
  </si>
  <si>
    <t>Consumo de O2 Total</t>
  </si>
  <si>
    <t>Consumo de Energía de la Aireación</t>
  </si>
  <si>
    <t>kW-H/año</t>
  </si>
  <si>
    <t>Factor de Utilizacion de la Aireación</t>
  </si>
  <si>
    <t>Tasa de Aporte de Oxígeno por cada Bomba</t>
  </si>
  <si>
    <t>KgO2/día</t>
  </si>
  <si>
    <t>gr/día</t>
  </si>
  <si>
    <t>Potencia de las Bombas de Aireación</t>
  </si>
  <si>
    <t>Consumo Anual de Energía por Equipos Electromecánicos</t>
  </si>
  <si>
    <t>SISTEMA DE COMPOSTAJE</t>
  </si>
  <si>
    <t>ppt</t>
  </si>
  <si>
    <t>mg O2/hora</t>
  </si>
  <si>
    <t>Planos de Diseño</t>
  </si>
  <si>
    <t>Consumo de Oxígeno Máximo en Estanque de Engorde</t>
  </si>
  <si>
    <t>Factor de Operación Maximo en Estanque de Engorde</t>
  </si>
  <si>
    <t xml:space="preserve">Consumo de O2 en Función del Peso Total </t>
  </si>
  <si>
    <t xml:space="preserve">Temperatura </t>
  </si>
  <si>
    <t>Peso del Camaron</t>
  </si>
  <si>
    <t>Suministro  de Oxígeno</t>
  </si>
  <si>
    <t>Consumo de O2 por  cada Camaron ( *) Ecuación B-8</t>
  </si>
  <si>
    <t>Consumo de O2 por Respiración</t>
  </si>
  <si>
    <t>Consumo de O2 por Nitrificación de Excresiones</t>
  </si>
  <si>
    <t>Contenido de Agua en Camarones</t>
  </si>
  <si>
    <t>mgNH4/gramo</t>
  </si>
  <si>
    <t>gO2/gNH4</t>
  </si>
  <si>
    <t>Porcentaje del Nitrógeno removido en Filtro Percolador</t>
  </si>
  <si>
    <t>mgN/kg-h</t>
  </si>
  <si>
    <t>Consumo Total de Oxígeno por Tilapias</t>
  </si>
  <si>
    <t>Consumo  Total de Oxígeno por Camarones</t>
  </si>
  <si>
    <r>
      <t xml:space="preserve">Tasa de Excreción  de N          </t>
    </r>
    <r>
      <rPr>
        <sz val="10"/>
        <rFont val="Arial"/>
        <family val="2"/>
      </rPr>
      <t xml:space="preserve"> Fig. B-24</t>
    </r>
  </si>
  <si>
    <t>NaCl</t>
  </si>
  <si>
    <t>Numeral B-9,3</t>
  </si>
  <si>
    <t>Hoja "Parab Camarones"</t>
  </si>
  <si>
    <t>Periodicidad del Ciclo de Suministro de Insumos</t>
  </si>
  <si>
    <t>Producción Anual por m2 de Estanque</t>
  </si>
  <si>
    <t xml:space="preserve">Densidad Máxima de Camarones </t>
  </si>
  <si>
    <t xml:space="preserve">Densidad Inicial de Camarones Especificada </t>
  </si>
  <si>
    <t>Peso Total de Camarones</t>
  </si>
  <si>
    <r>
      <t xml:space="preserve">Peso Final por Camaron </t>
    </r>
    <r>
      <rPr>
        <sz val="10"/>
        <rFont val="Arial"/>
        <family val="2"/>
      </rPr>
      <t>YSI Environmental (Ref. B-60)</t>
    </r>
  </si>
  <si>
    <t xml:space="preserve">Salinidad Especificada en Estanques </t>
  </si>
  <si>
    <t>Ecuación B-8</t>
  </si>
  <si>
    <t>Tiempo de Llenado Asumido</t>
  </si>
  <si>
    <t>Area Superficial por Par de Estanques</t>
  </si>
  <si>
    <t>Ancho de Estanques Octagonales</t>
  </si>
  <si>
    <t xml:space="preserve">Tiempo Total de Cria </t>
  </si>
  <si>
    <t>meses</t>
  </si>
  <si>
    <t>No Inicial de Post Larvas de Camarón</t>
  </si>
  <si>
    <t>No de Camarones en 2a Etapa</t>
  </si>
  <si>
    <t>Node  Camarones en 3a Etapa</t>
  </si>
  <si>
    <t>Información del Fabricante</t>
  </si>
  <si>
    <t>Capacidad del Trapiche de 3HP</t>
  </si>
  <si>
    <t xml:space="preserve">Concentración de Oxígeno Disuelto en Estanques </t>
  </si>
  <si>
    <t>Tasa de Excresión de NH4 en Camarones</t>
  </si>
  <si>
    <t>Cantidad Máxima de Urea a Suministrar</t>
  </si>
  <si>
    <t>Kg/Jornada</t>
  </si>
  <si>
    <t>Cantidad Anual de Urea a Suminstrar</t>
  </si>
  <si>
    <t>Kg/año</t>
  </si>
  <si>
    <t>Variable a Establecer</t>
  </si>
  <si>
    <t>Ecuación A-2</t>
  </si>
  <si>
    <t>Hea</t>
  </si>
  <si>
    <t>Funcion Objetivo: Valor de Hea</t>
  </si>
  <si>
    <t>Cantidad Anual de Cal a Suminstrar</t>
  </si>
  <si>
    <t>Cantidad Anual de Caña a Suminstrar</t>
  </si>
  <si>
    <t>Area Requerida de Ciultivo de Caña</t>
  </si>
  <si>
    <t>Promedio Diario General (Kg/dia):</t>
  </si>
  <si>
    <t>Promedio Estanques Post Larvas, Alevinos y Levante (Kg/dia):</t>
  </si>
  <si>
    <t>Promedio para Estanques de Engorde (Kg/dia):</t>
  </si>
  <si>
    <t>Hoja "Tubería hacia Filtro"</t>
  </si>
  <si>
    <t>Riego del Filtro Percolador</t>
  </si>
  <si>
    <t>Tabla B. 6,30, RAS</t>
  </si>
  <si>
    <t>Ecuación F-11</t>
  </si>
  <si>
    <t xml:space="preserve">Producción Anual de Tilapias </t>
  </si>
  <si>
    <t>Tiempo de Recirculación del Volumen</t>
  </si>
  <si>
    <t>Producción Anual de Camarones</t>
  </si>
  <si>
    <t>Peso Final del Camarones</t>
  </si>
  <si>
    <t>Tasa de Consumo de Alcalinidad por Nitrificacion Heterótrofa</t>
  </si>
  <si>
    <t>Aporte de Alcalinidad por Gramo de Hidróxido de Calcio (Cal)</t>
  </si>
  <si>
    <t>Manual del Cultivo de la Caña de la FAO y Corpoica (Ref. B-42)</t>
  </si>
  <si>
    <t>Valores Máximos en Estanques:</t>
  </si>
  <si>
    <t>Suministro de Insumos Químicos</t>
  </si>
  <si>
    <t xml:space="preserve">Ancho de cada Lecho </t>
  </si>
  <si>
    <t>Calculos del Filtro Percolador</t>
  </si>
  <si>
    <t>Longitud del Filtro</t>
  </si>
  <si>
    <t>Ancho del Filtro</t>
  </si>
  <si>
    <t>Area del Filtro Percolador</t>
  </si>
  <si>
    <t>Altura del Compost en el Lecho</t>
  </si>
  <si>
    <t>Altura Disponible</t>
  </si>
  <si>
    <t>RECIRCULACION A TRAVES DEL FILTRO PERCOLADOR</t>
  </si>
  <si>
    <t xml:space="preserve">Espaciamiento Medio entre Tuberías </t>
  </si>
  <si>
    <t>Espaciamiento Medio entre Aspersores</t>
  </si>
  <si>
    <t>Densidad  del Compost producido Normalmente</t>
  </si>
  <si>
    <t>Relación de Compactación por Compostaje Normal</t>
  </si>
  <si>
    <t>Densidad  del Compost de la Planta Parab</t>
  </si>
  <si>
    <t>Porcentaje de Carbohidratos de Fácil Degradación</t>
  </si>
  <si>
    <t>Cantidad Máxima de Caña cortada por Jornada</t>
  </si>
  <si>
    <t>Cantidad Máxima de Jugo de Caña por Jornada</t>
  </si>
  <si>
    <t>Lt/jornada</t>
  </si>
  <si>
    <t>Composición del Carbono Suministrado</t>
  </si>
  <si>
    <t>Bagazo</t>
  </si>
  <si>
    <t>Azucares</t>
  </si>
  <si>
    <t>Hojas y Cogollos</t>
  </si>
  <si>
    <t>Relación de Compactación por Compostaje con Bagazo</t>
  </si>
  <si>
    <t>Longitud del Lecho</t>
  </si>
  <si>
    <t>Diseño del Equipo</t>
  </si>
  <si>
    <t>Román Jimenez (Ref. B-29)</t>
  </si>
  <si>
    <t>Shi-Yen Shiau, Yu- Hung Lin. (Ref. B-28)</t>
  </si>
  <si>
    <t xml:space="preserve">ALIMENTACION </t>
  </si>
  <si>
    <t>Yoram Avnimelech (Ref. B-11)</t>
  </si>
  <si>
    <t>FAO (Ref. B-56)</t>
  </si>
  <si>
    <t xml:space="preserve">Ecuación A-18 de M.R. Ghomi (Ref. A-19) </t>
  </si>
  <si>
    <t xml:space="preserve">Ecuación A-19 de M.R. Ghomi (Ref. A-19) </t>
  </si>
  <si>
    <t xml:space="preserve">Ecuación A-20 de M.R. Ghomi (Ref. A-19) </t>
  </si>
  <si>
    <t xml:space="preserve">Consumo de O2 por Nitrificación </t>
  </si>
  <si>
    <t>Producción de Camarones por Etapa Calculada</t>
  </si>
  <si>
    <t>Densidad de Camaron Final Asumida</t>
  </si>
  <si>
    <t>Agua Marina por Par de Estanques</t>
  </si>
  <si>
    <t>Salinidad del Mar medida</t>
  </si>
  <si>
    <t>Udenar Ref. B-58</t>
  </si>
  <si>
    <t>YSI Environmental Ref. B-61</t>
  </si>
  <si>
    <t>Ana Denisse Re et al (Ref. B-72)</t>
  </si>
  <si>
    <t>Fig. B-3, P. De Schryver  et al. (Ref. B-7)</t>
  </si>
  <si>
    <t>Producción Anual de Tilapias</t>
  </si>
  <si>
    <t xml:space="preserve">Información de Entrada </t>
  </si>
  <si>
    <t xml:space="preserve">Parámetros  tomados de la Literatura Científica o Técnica </t>
  </si>
  <si>
    <t>Información de Salida</t>
  </si>
  <si>
    <t>Resultados Finales e Indicadores de Desempeño</t>
  </si>
  <si>
    <t>Otros Cálculos</t>
  </si>
  <si>
    <t>PLANTA PARAB PARA LA CRIA DE CAMARONES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</si>
  <si>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</si>
  <si>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</si>
  <si>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</si>
  <si>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</si>
  <si>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</si>
  <si>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</si>
  <si>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</si>
  <si>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</si>
  <si>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</si>
  <si>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</si>
  <si>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</si>
  <si>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</si>
  <si>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</si>
  <si>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</si>
  <si>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</si>
  <si>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</si>
  <si>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</si>
  <si>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Se puede tener en la abscisa una variable (p.e. caudal) que sea directamente proporcional al parámetro </t>
  </si>
  <si>
    <t>que se cambia (p.e. velocidad de los chorros)</t>
  </si>
  <si>
    <t>y luego se quita el color distitivo en este último.</t>
  </si>
  <si>
    <t>- Se realiza la gráfica a partir de las columnas de la abcisa y de las ordenadas.</t>
  </si>
  <si>
    <t xml:space="preserve">Pérdidas </t>
  </si>
  <si>
    <t>Hoja "Parab Tilapias"</t>
  </si>
  <si>
    <t xml:space="preserve">         Pérdidas :</t>
  </si>
  <si>
    <t>Numeral F-5,4</t>
  </si>
  <si>
    <t>Diámetro D</t>
  </si>
  <si>
    <t>Caudal Q</t>
  </si>
  <si>
    <t>Pérdidas hf</t>
  </si>
  <si>
    <t>(*). Fuente: Luis Vinatea et al. (Ref. B-78)</t>
  </si>
  <si>
    <t xml:space="preserve"> Fuente: Luis Vinatea et al. (Ref. B-78)</t>
  </si>
  <si>
    <t>Fco</t>
  </si>
  <si>
    <t>Notas</t>
  </si>
  <si>
    <t>a la columna E, y luego se quita el color distintivo.</t>
  </si>
  <si>
    <t>Es importante verificar el cumplimento de las condiciones indIcadas en la columna D</t>
  </si>
  <si>
    <t>1/8"</t>
  </si>
  <si>
    <t>N.sg/m2</t>
  </si>
  <si>
    <t>Varriable de Ajuste</t>
  </si>
  <si>
    <t xml:space="preserve">Andrew J. Ray et al (Ref. B-77).  Num. B-9.6 </t>
  </si>
  <si>
    <t>Tiempo de Recirculación del Volumen de Estanques a través del Filtro</t>
  </si>
  <si>
    <t>Periodo de Filtración</t>
  </si>
  <si>
    <t>Tasa de Recirculación de Agua del Estanque a través del Lecho</t>
  </si>
  <si>
    <t>Volumen Total de Estanques</t>
  </si>
  <si>
    <t>Velocidad en Garganta de las Boquillas</t>
  </si>
  <si>
    <t>Perdidas en Tubería</t>
  </si>
  <si>
    <t>Perdidas de Cabeza en la Boquilla</t>
  </si>
  <si>
    <t>Consumo Anual de Energía por Bomba de Compostaje</t>
  </si>
  <si>
    <t>ANALISIS DE LOS CONSUMOS ECONOMICOS Y AMBIENTALES</t>
  </si>
  <si>
    <t>Producción</t>
  </si>
  <si>
    <t>Area Ocupada</t>
  </si>
  <si>
    <t xml:space="preserve">Consumo de Agua  </t>
  </si>
  <si>
    <t>Consumo de Energía</t>
  </si>
  <si>
    <t>Perdidas en Tubería de Riego</t>
  </si>
  <si>
    <t>Velocidad en la Boquilla</t>
  </si>
  <si>
    <t>Caudal de Bomba en Tanque de Solución de Nutrientes</t>
  </si>
  <si>
    <t>Diferencia de Altura de Aspersores</t>
  </si>
  <si>
    <t>Hb</t>
  </si>
  <si>
    <t>Cabeza en la Boquilla</t>
  </si>
  <si>
    <t>Cabeza de Bombeo de Riego</t>
  </si>
  <si>
    <t>Funcion Objetivo: Valor de Hb</t>
  </si>
  <si>
    <t>3d4c7a4cfb3d9c3315bc99cae9417395.pdf (quiminet.com)</t>
  </si>
  <si>
    <t>Cal Agrícola</t>
  </si>
  <si>
    <t>Proporción de Fósforo Requerido en la Alimentación</t>
  </si>
  <si>
    <t>Proporción de Potasio Requerido en la Alimentación</t>
  </si>
  <si>
    <t>Fertilizante NPK - 15-15-15-(10)S - Diproagro</t>
  </si>
  <si>
    <t>Proporción de Fósforo y Potasio en Abono Triple 15</t>
  </si>
  <si>
    <t>kg/día</t>
  </si>
  <si>
    <t>Cantidad Diaria Máxima de Cal a Suministrar</t>
  </si>
  <si>
    <t>Cantidad Máxima de Abono Triple 15 a Suministrar por Día</t>
  </si>
  <si>
    <t>Abono Triple 15</t>
  </si>
  <si>
    <t xml:space="preserve">Ref. B-25. FAO. “NUTRICION Y ALIMENTACION DE PECES Y CAMARONES. 6. NUTRIENTES ESENCIALES-MINERALES”. Tabla 12  </t>
  </si>
  <si>
    <t>Cantidad Máxima de Nitrógeno en Abono Triple 15 por día</t>
  </si>
  <si>
    <t>Cantidad Máxima de Nitrógeno Aportado por Urea por Jornada</t>
  </si>
  <si>
    <t>kg/jor</t>
  </si>
  <si>
    <t>Cantidad Máxima de Nitrógeno en Urea</t>
  </si>
  <si>
    <t>Cantidad Máxima de Nitrógeno a Suministrar</t>
  </si>
  <si>
    <t>Proporción de Triple 15 Requerido para Suministro de P y K</t>
  </si>
  <si>
    <t>Tabla B-3</t>
  </si>
  <si>
    <t>Cantidad de Lisina a Suministrar como % del Alimento</t>
  </si>
  <si>
    <t>Omar Anaya-Reza y Teresa Lopez-Arenas (Ref. B-23)</t>
  </si>
  <si>
    <t>Cantidad de Glucosa a Procesar como % del Alimento</t>
  </si>
  <si>
    <t>Amjed Hussain et al (Ref. B-23)</t>
  </si>
  <si>
    <t>Cantidad de Biotina a Suministrar por Kg de Glucosa a Procesar</t>
  </si>
  <si>
    <t xml:space="preserve">mg/kg  </t>
  </si>
  <si>
    <t>Cantidad de Biotina a Suministrar por Tonelada de Alimento</t>
  </si>
  <si>
    <t xml:space="preserve">mg/ton </t>
  </si>
  <si>
    <t>Cantidad Máxima de Biotina a Suministrar</t>
  </si>
  <si>
    <t>Biotina</t>
  </si>
  <si>
    <t>Alimento Seco Diario Requerido Nominalmente</t>
  </si>
  <si>
    <t>Proporción de Glucosa en Alimento Nominal</t>
  </si>
  <si>
    <t>Proporción de la Glucosa a Convertir en Lisina</t>
  </si>
  <si>
    <r>
      <t xml:space="preserve">Concentrado como % del Peso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Referencia</t>
    </r>
  </si>
  <si>
    <t>% de Proteína en Concentrado</t>
  </si>
  <si>
    <t>Concentrado Diario de Referencia Requrido</t>
  </si>
  <si>
    <r>
      <t xml:space="preserve">Consumo de O2 por Respiracion </t>
    </r>
    <r>
      <rPr>
        <sz val="10"/>
        <rFont val="Arial"/>
        <family val="2"/>
      </rPr>
      <t>Ecuaciones B-6</t>
    </r>
  </si>
  <si>
    <t>mg/jor</t>
  </si>
  <si>
    <t>mg/Jor</t>
  </si>
  <si>
    <t>Promedio Diario General:</t>
  </si>
  <si>
    <t>Promedio para Estanques de  Engorde:</t>
  </si>
  <si>
    <t>Promedio Estanques Alevinos y Levante:</t>
  </si>
  <si>
    <t>Programación del Suministro de Alimento a las Tilapias por Módulo</t>
  </si>
  <si>
    <t xml:space="preserve"> Programación del Suministro de Alimento a los Camarones por Módulo </t>
  </si>
  <si>
    <t>Programación del Suministro de Compost y Oxígeno a Estanques y Jaulas  por Módulo</t>
  </si>
  <si>
    <t>Programa de Suministro de Productos Químicos  por Módulo</t>
  </si>
  <si>
    <t xml:space="preserve">        Programación del Suministro de Oxígeno a las Tilapias  por Módulo</t>
  </si>
  <si>
    <t xml:space="preserve">       Programación del Suministro de  Oxígeno a los Camarones  por Módulo</t>
  </si>
  <si>
    <t>Kg/jornada</t>
  </si>
  <si>
    <t>Consumo de Agua por Llenado de Estanques</t>
  </si>
  <si>
    <t>Volumen de Agua de Llenado</t>
  </si>
  <si>
    <t>Caudal de Bomba de Recirculación</t>
  </si>
  <si>
    <t>Parámetros de Entrada por Módulo de 2 Estanques</t>
  </si>
  <si>
    <t>Número de Módulos por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</si>
</sst>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.00_);_(* \(#,##0.00\);_(* \-??_);_(@_)"/>
    <numFmt numFmtId="165" formatCode="0.0"/>
    <numFmt numFmtId="166" formatCode="0.000"/>
    <numFmt numFmtId="167" formatCode="_-* #,##0.00\ _€_-;\-* #,##0.00\ _€_-;_-* \-??\ _€_-;_-@_-"/>
    <numFmt numFmtId="168" formatCode="0.000000"/>
    <numFmt numFmtId="169" formatCode="_ * #,##0.00_ ;_ * \-#,##0.00_ ;_ * \-??_ ;_ @_ "/>
    <numFmt numFmtId="170" formatCode="0.0%"/>
    <numFmt numFmtId="171" formatCode="_-&quot;$ &quot;* #,##0_-;&quot;-$ &quot;* #,##0_-;_-&quot;$ &quot;* \-_-;_-@_-"/>
    <numFmt numFmtId="172" formatCode="_(* #,##0.00_);_(* \(#,##0.00\);_(* \-???_);_(@_)"/>
    <numFmt numFmtId="173" formatCode="#,##0.0"/>
    <numFmt numFmtId="174" formatCode="_(* #,##0_);_(* \(#,##0\);_(* \-???_);_(@_)"/>
    <numFmt numFmtId="175" formatCode="&quot;$ &quot;#,##0_);[Red]&quot;($ &quot;#,##0\)"/>
    <numFmt numFmtId="176" formatCode="_-* #,##0_-;\-* #,##0_-;_-* \-_-;_-@_-"/>
    <numFmt numFmtId="177" formatCode="_ * #,##0.00_ ;_ * \-#,##0.00_ ;_ * &quot;-&quot;??_ ;_ @_ "/>
    <numFmt numFmtId="178" formatCode="_(* #,##0.00_);_(* \(#,##0.00\);_(* &quot;-&quot;??_);_(@_)"/>
    <numFmt numFmtId="179" formatCode="#,##0.000"/>
  </numFmts>
  <fonts count="38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1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GreekC"/>
    </font>
    <font>
      <b/>
      <sz val="12"/>
      <name val="Arial"/>
      <family val="2"/>
      <charset val="1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vertAlign val="subscript"/>
      <sz val="11"/>
      <name val="Arial"/>
      <family val="2"/>
    </font>
    <font>
      <sz val="12"/>
      <name val="Arial"/>
      <family val="2"/>
    </font>
    <font>
      <b/>
      <sz val="11"/>
      <name val="GreekC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CCFF99"/>
        <bgColor rgb="FFEBFED2"/>
      </patternFill>
    </fill>
    <fill>
      <patternFill patternType="solid">
        <fgColor rgb="FFFDEADA"/>
        <bgColor rgb="FFEEECE1"/>
      </patternFill>
    </fill>
    <fill>
      <patternFill patternType="solid">
        <fgColor rgb="FFFFFFCC"/>
        <bgColor rgb="FFEBFED2"/>
      </patternFill>
    </fill>
    <fill>
      <patternFill patternType="solid">
        <fgColor rgb="FFD2F9FE"/>
        <bgColor rgb="FFCCFFFF"/>
      </patternFill>
    </fill>
    <fill>
      <patternFill patternType="solid">
        <fgColor rgb="FFCCFFFF"/>
        <bgColor rgb="FFD2F9FE"/>
      </patternFill>
    </fill>
    <fill>
      <patternFill patternType="solid">
        <fgColor rgb="FFFFFFFF"/>
        <bgColor rgb="FFF9F9F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DCE6F2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CEF8FE"/>
        <bgColor rgb="FFEBF1DE"/>
      </patternFill>
    </fill>
    <fill>
      <patternFill patternType="solid">
        <fgColor theme="5" tint="0.79998168889431442"/>
        <bgColor rgb="FFEBF1DE"/>
      </patternFill>
    </fill>
    <fill>
      <patternFill patternType="solid">
        <fgColor rgb="FFDEEBF7"/>
        <bgColor rgb="FFDBEEF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0"/>
        <bgColor rgb="FFEBFED2"/>
      </patternFill>
    </fill>
    <fill>
      <patternFill patternType="solid">
        <fgColor rgb="FFCCFF99"/>
        <bgColor rgb="FFCCFFCC"/>
      </patternFill>
    </fill>
    <fill>
      <patternFill patternType="solid">
        <fgColor rgb="FFFBE5D6"/>
        <bgColor rgb="FFFDEADA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2CC"/>
        <bgColor rgb="FFDEEBF7"/>
      </patternFill>
    </fill>
    <fill>
      <patternFill patternType="solid">
        <fgColor rgb="FFCEF8FE"/>
        <bgColor rgb="FFEBFED2"/>
      </patternFill>
    </fill>
    <fill>
      <patternFill patternType="solid">
        <fgColor theme="0"/>
        <bgColor rgb="FFEBF1DE"/>
      </patternFill>
    </fill>
    <fill>
      <patternFill patternType="solid">
        <fgColor theme="4" tint="0.79998168889431442"/>
        <bgColor rgb="FFDBEEF4"/>
      </patternFill>
    </fill>
    <fill>
      <patternFill patternType="solid">
        <fgColor rgb="FFCEF8FE"/>
        <bgColor indexed="64"/>
      </patternFill>
    </fill>
    <fill>
      <patternFill patternType="solid">
        <fgColor theme="7" tint="0.79998168889431442"/>
        <bgColor rgb="FFDBEEF4"/>
      </patternFill>
    </fill>
    <fill>
      <patternFill patternType="solid">
        <fgColor rgb="FFCEF8FE"/>
        <bgColor rgb="FFDCE6F2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EEECE1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8" tint="0.79998168889431442"/>
        <bgColor rgb="FFCCFFFF"/>
      </patternFill>
    </fill>
    <fill>
      <patternFill patternType="solid">
        <fgColor rgb="FFCEF8FE"/>
        <bgColor rgb="FFCCFFCC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D2F9FE"/>
      </patternFill>
    </fill>
    <fill>
      <patternFill patternType="solid">
        <fgColor rgb="FFFFFFCC"/>
        <bgColor rgb="FFEEECE1"/>
      </patternFill>
    </fill>
    <fill>
      <patternFill patternType="solid">
        <fgColor theme="7" tint="0.79998168889431442"/>
        <bgColor rgb="FFFDEADA"/>
      </patternFill>
    </fill>
    <fill>
      <patternFill patternType="solid">
        <fgColor rgb="FFCEF8FE"/>
        <bgColor rgb="FFDBEEF4"/>
      </patternFill>
    </fill>
    <fill>
      <patternFill patternType="solid">
        <fgColor theme="7" tint="0.79998168889431442"/>
        <bgColor rgb="FFEBFED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0"/>
        <bgColor rgb="FFEEECE1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rgb="FFD2F9FE"/>
      </patternFill>
    </fill>
    <fill>
      <patternFill patternType="solid">
        <fgColor theme="5" tint="0.79998168889431442"/>
        <bgColor rgb="FFDCE6F2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0" fillId="0" borderId="0" applyBorder="0" applyProtection="0"/>
    <xf numFmtId="0" fontId="8" fillId="0" borderId="0" applyBorder="0" applyProtection="0"/>
    <xf numFmtId="164" fontId="10" fillId="0" borderId="0" applyBorder="0" applyProtection="0"/>
    <xf numFmtId="0" fontId="1" fillId="0" borderId="0"/>
    <xf numFmtId="0" fontId="1" fillId="0" borderId="0"/>
    <xf numFmtId="9" fontId="10" fillId="0" borderId="0" applyBorder="0" applyProtection="0"/>
    <xf numFmtId="9" fontId="10" fillId="0" borderId="0" applyBorder="0" applyProtection="0"/>
    <xf numFmtId="171" fontId="10" fillId="0" borderId="0" applyBorder="0" applyProtection="0"/>
    <xf numFmtId="176" fontId="10" fillId="0" borderId="0" applyBorder="0" applyProtection="0"/>
  </cellStyleXfs>
  <cellXfs count="9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indent="1"/>
    </xf>
    <xf numFmtId="0" fontId="6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2" fillId="5" borderId="3" xfId="0" applyFont="1" applyFill="1" applyBorder="1"/>
    <xf numFmtId="1" fontId="2" fillId="5" borderId="3" xfId="0" applyNumberFormat="1" applyFont="1" applyFill="1" applyBorder="1" applyAlignment="1">
      <alignment horizontal="right" indent="1"/>
    </xf>
    <xf numFmtId="0" fontId="2" fillId="0" borderId="3" xfId="0" applyFont="1" applyBorder="1"/>
    <xf numFmtId="2" fontId="2" fillId="0" borderId="3" xfId="0" applyNumberFormat="1" applyFont="1" applyBorder="1" applyAlignment="1">
      <alignment horizontal="right" indent="1"/>
    </xf>
    <xf numFmtId="0" fontId="2" fillId="0" borderId="0" xfId="0" applyFont="1" applyAlignment="1">
      <alignment horizontal="left"/>
    </xf>
    <xf numFmtId="166" fontId="2" fillId="0" borderId="3" xfId="0" applyNumberFormat="1" applyFont="1" applyBorder="1" applyAlignment="1">
      <alignment horizontal="right" inden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 inden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2" fontId="4" fillId="0" borderId="0" xfId="0" applyNumberFormat="1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/>
    <xf numFmtId="0" fontId="4" fillId="3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4" xfId="0" applyFont="1" applyFill="1" applyBorder="1"/>
    <xf numFmtId="2" fontId="4" fillId="0" borderId="3" xfId="0" applyNumberFormat="1" applyFont="1" applyBorder="1"/>
    <xf numFmtId="0" fontId="2" fillId="2" borderId="3" xfId="0" applyFont="1" applyFill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4" fillId="4" borderId="3" xfId="0" applyFon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2" fillId="2" borderId="4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3" borderId="3" xfId="0" applyNumberFormat="1" applyFont="1" applyFill="1" applyBorder="1" applyAlignment="1">
      <alignment horizontal="right" indent="1"/>
    </xf>
    <xf numFmtId="2" fontId="6" fillId="7" borderId="0" xfId="0" applyNumberFormat="1" applyFont="1" applyFill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9" fontId="4" fillId="7" borderId="11" xfId="6" applyFont="1" applyFill="1" applyBorder="1" applyAlignment="1" applyProtection="1">
      <alignment horizontal="center" vertical="center" wrapText="1"/>
    </xf>
    <xf numFmtId="0" fontId="0" fillId="0" borderId="9" xfId="0" applyBorder="1"/>
    <xf numFmtId="172" fontId="4" fillId="0" borderId="0" xfId="0" applyNumberFormat="1" applyFont="1"/>
    <xf numFmtId="3" fontId="4" fillId="0" borderId="3" xfId="0" applyNumberFormat="1" applyFont="1" applyBorder="1" applyAlignment="1">
      <alignment horizontal="right" indent="1"/>
    </xf>
    <xf numFmtId="2" fontId="4" fillId="4" borderId="3" xfId="0" applyNumberFormat="1" applyFont="1" applyFill="1" applyBorder="1"/>
    <xf numFmtId="0" fontId="9" fillId="0" borderId="0" xfId="0" applyFont="1"/>
    <xf numFmtId="0" fontId="2" fillId="0" borderId="1" xfId="0" applyFont="1" applyBorder="1"/>
    <xf numFmtId="0" fontId="2" fillId="0" borderId="4" xfId="0" applyFont="1" applyBorder="1"/>
    <xf numFmtId="0" fontId="4" fillId="0" borderId="1" xfId="0" applyFont="1" applyBorder="1"/>
    <xf numFmtId="2" fontId="4" fillId="0" borderId="3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175" fontId="4" fillId="0" borderId="0" xfId="0" applyNumberFormat="1" applyFont="1"/>
    <xf numFmtId="9" fontId="4" fillId="0" borderId="0" xfId="0" applyNumberFormat="1" applyFont="1"/>
    <xf numFmtId="2" fontId="2" fillId="5" borderId="3" xfId="0" applyNumberFormat="1" applyFont="1" applyFill="1" applyBorder="1" applyAlignment="1">
      <alignment horizontal="right" indent="1"/>
    </xf>
    <xf numFmtId="10" fontId="4" fillId="0" borderId="3" xfId="1" applyNumberFormat="1" applyFont="1" applyBorder="1" applyProtection="1"/>
    <xf numFmtId="4" fontId="4" fillId="0" borderId="0" xfId="0" applyNumberFormat="1" applyFont="1" applyAlignment="1">
      <alignment horizontal="right" indent="1"/>
    </xf>
    <xf numFmtId="0" fontId="0" fillId="0" borderId="2" xfId="0" applyBorder="1"/>
    <xf numFmtId="0" fontId="4" fillId="0" borderId="4" xfId="0" applyFont="1" applyBorder="1"/>
    <xf numFmtId="0" fontId="4" fillId="0" borderId="1" xfId="0" applyFont="1" applyBorder="1" applyAlignment="1">
      <alignment vertical="center" wrapText="1"/>
    </xf>
    <xf numFmtId="0" fontId="11" fillId="0" borderId="0" xfId="0" applyFont="1"/>
    <xf numFmtId="4" fontId="4" fillId="0" borderId="3" xfId="0" applyNumberFormat="1" applyFont="1" applyBorder="1" applyAlignment="1">
      <alignment horizontal="right" indent="1"/>
    </xf>
    <xf numFmtId="0" fontId="10" fillId="0" borderId="0" xfId="0" applyFont="1"/>
    <xf numFmtId="0" fontId="13" fillId="0" borderId="0" xfId="0" applyFont="1" applyAlignment="1">
      <alignment horizontal="right"/>
    </xf>
    <xf numFmtId="2" fontId="13" fillId="0" borderId="0" xfId="0" applyNumberFormat="1" applyFont="1"/>
    <xf numFmtId="0" fontId="0" fillId="0" borderId="15" xfId="0" applyBorder="1"/>
    <xf numFmtId="170" fontId="10" fillId="0" borderId="15" xfId="1" applyNumberFormat="1" applyBorder="1"/>
    <xf numFmtId="3" fontId="0" fillId="0" borderId="15" xfId="0" applyNumberFormat="1" applyBorder="1"/>
    <xf numFmtId="2" fontId="0" fillId="0" borderId="15" xfId="0" applyNumberFormat="1" applyBorder="1"/>
    <xf numFmtId="0" fontId="0" fillId="0" borderId="14" xfId="0" applyBorder="1"/>
    <xf numFmtId="170" fontId="10" fillId="0" borderId="14" xfId="1" applyNumberFormat="1" applyBorder="1"/>
    <xf numFmtId="3" fontId="10" fillId="0" borderId="14" xfId="0" applyNumberFormat="1" applyFont="1" applyBorder="1"/>
    <xf numFmtId="2" fontId="0" fillId="0" borderId="14" xfId="0" applyNumberFormat="1" applyBorder="1"/>
    <xf numFmtId="0" fontId="0" fillId="0" borderId="13" xfId="0" applyBorder="1"/>
    <xf numFmtId="170" fontId="10" fillId="0" borderId="13" xfId="1" applyNumberFormat="1" applyBorder="1"/>
    <xf numFmtId="3" fontId="0" fillId="0" borderId="13" xfId="0" applyNumberFormat="1" applyBorder="1"/>
    <xf numFmtId="2" fontId="0" fillId="0" borderId="13" xfId="0" applyNumberFormat="1" applyBorder="1"/>
    <xf numFmtId="0" fontId="0" fillId="0" borderId="0" xfId="0" applyAlignment="1">
      <alignment vertical="center"/>
    </xf>
    <xf numFmtId="1" fontId="4" fillId="7" borderId="0" xfId="0" applyNumberFormat="1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2" fontId="4" fillId="0" borderId="0" xfId="0" applyNumberFormat="1" applyFont="1" applyAlignment="1">
      <alignment horizontal="right" indent="1"/>
    </xf>
    <xf numFmtId="0" fontId="11" fillId="0" borderId="3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indent="1"/>
    </xf>
    <xf numFmtId="0" fontId="11" fillId="0" borderId="0" xfId="0" applyFont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2" fillId="2" borderId="3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2" fontId="10" fillId="0" borderId="14" xfId="0" applyNumberFormat="1" applyFont="1" applyBorder="1"/>
    <xf numFmtId="1" fontId="0" fillId="0" borderId="13" xfId="0" applyNumberFormat="1" applyBorder="1"/>
    <xf numFmtId="1" fontId="0" fillId="0" borderId="15" xfId="0" applyNumberFormat="1" applyBorder="1"/>
    <xf numFmtId="1" fontId="0" fillId="0" borderId="14" xfId="0" applyNumberFormat="1" applyBorder="1"/>
    <xf numFmtId="0" fontId="10" fillId="0" borderId="0" xfId="0" applyFont="1" applyAlignment="1">
      <alignment horizontal="right"/>
    </xf>
    <xf numFmtId="0" fontId="4" fillId="8" borderId="3" xfId="0" applyFont="1" applyFill="1" applyBorder="1"/>
    <xf numFmtId="174" fontId="4" fillId="8" borderId="6" xfId="0" applyNumberFormat="1" applyFont="1" applyFill="1" applyBorder="1" applyAlignment="1">
      <alignment horizontal="right" indent="1"/>
    </xf>
    <xf numFmtId="4" fontId="4" fillId="8" borderId="6" xfId="0" applyNumberFormat="1" applyFont="1" applyFill="1" applyBorder="1" applyAlignment="1">
      <alignment horizontal="right" indent="1"/>
    </xf>
    <xf numFmtId="0" fontId="4" fillId="8" borderId="4" xfId="0" applyFont="1" applyFill="1" applyBorder="1"/>
    <xf numFmtId="0" fontId="5" fillId="0" borderId="0" xfId="0" applyFont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/>
    </xf>
    <xf numFmtId="174" fontId="4" fillId="8" borderId="3" xfId="0" applyNumberFormat="1" applyFont="1" applyFill="1" applyBorder="1" applyAlignment="1">
      <alignment horizontal="right" indent="1"/>
    </xf>
    <xf numFmtId="4" fontId="4" fillId="8" borderId="3" xfId="0" applyNumberFormat="1" applyFont="1" applyFill="1" applyBorder="1" applyAlignment="1">
      <alignment horizontal="right" indent="1"/>
    </xf>
    <xf numFmtId="9" fontId="11" fillId="0" borderId="11" xfId="1" applyFont="1" applyBorder="1" applyAlignment="1">
      <alignment horizontal="center" vertical="center"/>
    </xf>
    <xf numFmtId="2" fontId="4" fillId="10" borderId="3" xfId="0" applyNumberFormat="1" applyFont="1" applyFill="1" applyBorder="1"/>
    <xf numFmtId="172" fontId="4" fillId="10" borderId="3" xfId="0" applyNumberFormat="1" applyFont="1" applyFill="1" applyBorder="1" applyAlignment="1">
      <alignment horizontal="right" indent="1"/>
    </xf>
    <xf numFmtId="4" fontId="4" fillId="10" borderId="3" xfId="0" applyNumberFormat="1" applyFont="1" applyFill="1" applyBorder="1" applyAlignment="1">
      <alignment horizontal="right" indent="1"/>
    </xf>
    <xf numFmtId="0" fontId="4" fillId="11" borderId="3" xfId="0" applyFont="1" applyFill="1" applyBorder="1"/>
    <xf numFmtId="0" fontId="4" fillId="11" borderId="3" xfId="0" applyFont="1" applyFill="1" applyBorder="1" applyAlignment="1">
      <alignment horizontal="center"/>
    </xf>
    <xf numFmtId="170" fontId="4" fillId="12" borderId="3" xfId="1" applyNumberFormat="1" applyFont="1" applyFill="1" applyBorder="1" applyAlignment="1" applyProtection="1">
      <alignment horizontal="right" indent="1"/>
    </xf>
    <xf numFmtId="165" fontId="2" fillId="5" borderId="3" xfId="0" applyNumberFormat="1" applyFont="1" applyFill="1" applyBorder="1" applyAlignment="1">
      <alignment horizontal="right" indent="1"/>
    </xf>
    <xf numFmtId="177" fontId="11" fillId="0" borderId="3" xfId="0" applyNumberFormat="1" applyFont="1" applyBorder="1"/>
    <xf numFmtId="0" fontId="11" fillId="0" borderId="4" xfId="0" applyFont="1" applyBorder="1"/>
    <xf numFmtId="0" fontId="4" fillId="14" borderId="3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left"/>
    </xf>
    <xf numFmtId="0" fontId="4" fillId="14" borderId="4" xfId="0" applyFont="1" applyFill="1" applyBorder="1"/>
    <xf numFmtId="0" fontId="4" fillId="9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5" borderId="3" xfId="0" applyFont="1" applyFill="1" applyBorder="1"/>
    <xf numFmtId="10" fontId="17" fillId="8" borderId="3" xfId="1" applyNumberFormat="1" applyFont="1" applyFill="1" applyBorder="1" applyAlignment="1">
      <alignment horizontal="center"/>
    </xf>
    <xf numFmtId="2" fontId="4" fillId="10" borderId="3" xfId="0" applyNumberFormat="1" applyFont="1" applyFill="1" applyBorder="1" applyAlignment="1">
      <alignment horizontal="right" vertical="center" indent="1"/>
    </xf>
    <xf numFmtId="0" fontId="4" fillId="16" borderId="4" xfId="0" applyFont="1" applyFill="1" applyBorder="1"/>
    <xf numFmtId="0" fontId="3" fillId="19" borderId="3" xfId="0" applyFont="1" applyFill="1" applyBorder="1" applyAlignment="1">
      <alignment horizontal="center"/>
    </xf>
    <xf numFmtId="0" fontId="17" fillId="18" borderId="11" xfId="0" applyFont="1" applyFill="1" applyBorder="1" applyAlignment="1">
      <alignment horizontal="center" vertical="center" wrapText="1"/>
    </xf>
    <xf numFmtId="0" fontId="21" fillId="20" borderId="11" xfId="0" applyFont="1" applyFill="1" applyBorder="1" applyAlignment="1">
      <alignment horizontal="center" vertical="center" wrapText="1"/>
    </xf>
    <xf numFmtId="2" fontId="21" fillId="20" borderId="11" xfId="0" applyNumberFormat="1" applyFont="1" applyFill="1" applyBorder="1" applyAlignment="1">
      <alignment horizontal="center" vertical="center" wrapText="1"/>
    </xf>
    <xf numFmtId="168" fontId="21" fillId="20" borderId="11" xfId="0" applyNumberFormat="1" applyFont="1" applyFill="1" applyBorder="1" applyAlignment="1">
      <alignment horizontal="center" vertical="center" wrapText="1"/>
    </xf>
    <xf numFmtId="11" fontId="0" fillId="0" borderId="11" xfId="0" applyNumberFormat="1" applyBorder="1" applyAlignment="1">
      <alignment horizontal="center"/>
    </xf>
    <xf numFmtId="0" fontId="8" fillId="0" borderId="8" xfId="2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8" fillId="9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/>
    <xf numFmtId="0" fontId="2" fillId="21" borderId="3" xfId="0" applyFont="1" applyFill="1" applyBorder="1"/>
    <xf numFmtId="0" fontId="2" fillId="21" borderId="4" xfId="0" applyFont="1" applyFill="1" applyBorder="1"/>
    <xf numFmtId="0" fontId="4" fillId="22" borderId="3" xfId="0" applyFont="1" applyFill="1" applyBorder="1"/>
    <xf numFmtId="0" fontId="4" fillId="22" borderId="4" xfId="0" applyFont="1" applyFill="1" applyBorder="1"/>
    <xf numFmtId="9" fontId="4" fillId="0" borderId="3" xfId="1" applyFont="1" applyBorder="1" applyAlignment="1" applyProtection="1">
      <alignment vertical="center" wrapText="1"/>
    </xf>
    <xf numFmtId="0" fontId="0" fillId="0" borderId="11" xfId="0" applyBorder="1"/>
    <xf numFmtId="0" fontId="4" fillId="0" borderId="1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8" fillId="9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/>
    </xf>
    <xf numFmtId="2" fontId="4" fillId="22" borderId="3" xfId="0" applyNumberFormat="1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right" indent="1"/>
    </xf>
    <xf numFmtId="2" fontId="4" fillId="9" borderId="3" xfId="0" applyNumberFormat="1" applyFont="1" applyFill="1" applyBorder="1" applyAlignment="1">
      <alignment horizontal="right" indent="1"/>
    </xf>
    <xf numFmtId="2" fontId="4" fillId="14" borderId="3" xfId="0" applyNumberFormat="1" applyFont="1" applyFill="1" applyBorder="1" applyAlignment="1">
      <alignment horizontal="right" indent="1"/>
    </xf>
    <xf numFmtId="2" fontId="4" fillId="9" borderId="3" xfId="0" applyNumberFormat="1" applyFont="1" applyFill="1" applyBorder="1" applyAlignment="1">
      <alignment horizontal="right" vertical="center" indent="1"/>
    </xf>
    <xf numFmtId="0" fontId="4" fillId="16" borderId="1" xfId="0" applyFont="1" applyFill="1" applyBorder="1"/>
    <xf numFmtId="0" fontId="4" fillId="16" borderId="3" xfId="0" applyFont="1" applyFill="1" applyBorder="1"/>
    <xf numFmtId="2" fontId="17" fillId="0" borderId="3" xfId="0" applyNumberFormat="1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2" fontId="11" fillId="18" borderId="3" xfId="0" applyNumberFormat="1" applyFont="1" applyFill="1" applyBorder="1" applyAlignment="1">
      <alignment horizontal="right" inden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4" fillId="0" borderId="3" xfId="0" applyNumberFormat="1" applyFont="1" applyBorder="1" applyAlignment="1">
      <alignment horizontal="right" vertical="center" indent="1"/>
    </xf>
    <xf numFmtId="9" fontId="4" fillId="14" borderId="3" xfId="0" applyNumberFormat="1" applyFont="1" applyFill="1" applyBorder="1" applyAlignment="1">
      <alignment horizontal="right" vertical="center" indent="1"/>
    </xf>
    <xf numFmtId="179" fontId="4" fillId="0" borderId="11" xfId="0" applyNumberFormat="1" applyFont="1" applyBorder="1" applyAlignment="1">
      <alignment horizontal="center" vertical="center" wrapText="1"/>
    </xf>
    <xf numFmtId="9" fontId="4" fillId="7" borderId="11" xfId="1" applyFont="1" applyFill="1" applyBorder="1" applyAlignment="1" applyProtection="1">
      <alignment horizontal="center" vertical="center" wrapText="1"/>
    </xf>
    <xf numFmtId="0" fontId="4" fillId="23" borderId="3" xfId="0" applyFont="1" applyFill="1" applyBorder="1" applyAlignment="1">
      <alignment horizontal="center"/>
    </xf>
    <xf numFmtId="3" fontId="4" fillId="23" borderId="3" xfId="0" applyNumberFormat="1" applyFont="1" applyFill="1" applyBorder="1" applyAlignment="1">
      <alignment horizontal="right" indent="1"/>
    </xf>
    <xf numFmtId="0" fontId="4" fillId="23" borderId="4" xfId="0" applyFont="1" applyFill="1" applyBorder="1"/>
    <xf numFmtId="0" fontId="4" fillId="14" borderId="4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center" vertical="center"/>
    </xf>
    <xf numFmtId="2" fontId="4" fillId="14" borderId="3" xfId="0" applyNumberFormat="1" applyFont="1" applyFill="1" applyBorder="1" applyAlignment="1">
      <alignment horizontal="right" vertical="center" indent="1"/>
    </xf>
    <xf numFmtId="0" fontId="4" fillId="24" borderId="3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5" borderId="7" xfId="0" applyFont="1" applyFill="1" applyBorder="1" applyAlignment="1">
      <alignment horizontal="center"/>
    </xf>
    <xf numFmtId="2" fontId="4" fillId="25" borderId="11" xfId="0" applyNumberFormat="1" applyFont="1" applyFill="1" applyBorder="1" applyAlignment="1">
      <alignment horizontal="center"/>
    </xf>
    <xf numFmtId="2" fontId="4" fillId="25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6" borderId="4" xfId="0" applyFont="1" applyFill="1" applyBorder="1" applyAlignment="1">
      <alignment horizontal="left" vertical="center"/>
    </xf>
    <xf numFmtId="0" fontId="4" fillId="26" borderId="1" xfId="0" applyFont="1" applyFill="1" applyBorder="1" applyAlignment="1">
      <alignment vertical="center"/>
    </xf>
    <xf numFmtId="0" fontId="4" fillId="2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2" fontId="4" fillId="24" borderId="3" xfId="0" applyNumberFormat="1" applyFont="1" applyFill="1" applyBorder="1" applyAlignment="1">
      <alignment horizontal="right" indent="1"/>
    </xf>
    <xf numFmtId="0" fontId="4" fillId="24" borderId="4" xfId="0" applyFont="1" applyFill="1" applyBorder="1"/>
    <xf numFmtId="0" fontId="4" fillId="27" borderId="6" xfId="0" applyFont="1" applyFill="1" applyBorder="1" applyAlignment="1">
      <alignment horizontal="center"/>
    </xf>
    <xf numFmtId="0" fontId="4" fillId="27" borderId="7" xfId="0" applyFont="1" applyFill="1" applyBorder="1"/>
    <xf numFmtId="0" fontId="4" fillId="27" borderId="9" xfId="0" applyFont="1" applyFill="1" applyBorder="1" applyAlignment="1">
      <alignment horizontal="center"/>
    </xf>
    <xf numFmtId="0" fontId="4" fillId="27" borderId="10" xfId="0" applyFont="1" applyFill="1" applyBorder="1" applyAlignment="1">
      <alignment horizontal="left"/>
    </xf>
    <xf numFmtId="10" fontId="11" fillId="0" borderId="3" xfId="1" applyNumberFormat="1" applyFont="1" applyBorder="1" applyAlignment="1">
      <alignment horizontal="center"/>
    </xf>
    <xf numFmtId="0" fontId="4" fillId="14" borderId="1" xfId="0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right" indent="1"/>
    </xf>
    <xf numFmtId="0" fontId="4" fillId="28" borderId="3" xfId="0" applyFont="1" applyFill="1" applyBorder="1"/>
    <xf numFmtId="4" fontId="4" fillId="28" borderId="3" xfId="0" applyNumberFormat="1" applyFont="1" applyFill="1" applyBorder="1" applyAlignment="1">
      <alignment horizontal="right" indent="1"/>
    </xf>
    <xf numFmtId="2" fontId="4" fillId="15" borderId="3" xfId="0" applyNumberFormat="1" applyFont="1" applyFill="1" applyBorder="1" applyAlignment="1">
      <alignment horizontal="center"/>
    </xf>
    <xf numFmtId="3" fontId="4" fillId="15" borderId="3" xfId="0" applyNumberFormat="1" applyFont="1" applyFill="1" applyBorder="1" applyAlignment="1">
      <alignment horizontal="right" indent="1"/>
    </xf>
    <xf numFmtId="0" fontId="4" fillId="29" borderId="3" xfId="0" applyFont="1" applyFill="1" applyBorder="1"/>
    <xf numFmtId="3" fontId="2" fillId="29" borderId="3" xfId="0" applyNumberFormat="1" applyFont="1" applyFill="1" applyBorder="1" applyAlignment="1">
      <alignment horizontal="right" indent="1"/>
    </xf>
    <xf numFmtId="170" fontId="4" fillId="24" borderId="3" xfId="1" applyNumberFormat="1" applyFont="1" applyFill="1" applyBorder="1" applyAlignment="1" applyProtection="1">
      <alignment horizontal="right" indent="1"/>
    </xf>
    <xf numFmtId="0" fontId="2" fillId="21" borderId="3" xfId="0" applyFont="1" applyFill="1" applyBorder="1" applyAlignment="1">
      <alignment horizontal="center"/>
    </xf>
    <xf numFmtId="9" fontId="2" fillId="21" borderId="3" xfId="0" applyNumberFormat="1" applyFont="1" applyFill="1" applyBorder="1" applyAlignment="1">
      <alignment horizontal="right" indent="1"/>
    </xf>
    <xf numFmtId="0" fontId="2" fillId="21" borderId="3" xfId="0" applyFont="1" applyFill="1" applyBorder="1" applyAlignment="1">
      <alignment horizontal="right" indent="1"/>
    </xf>
    <xf numFmtId="2" fontId="2" fillId="21" borderId="3" xfId="0" applyNumberFormat="1" applyFont="1" applyFill="1" applyBorder="1" applyAlignment="1">
      <alignment horizontal="right" indent="1"/>
    </xf>
    <xf numFmtId="2" fontId="4" fillId="30" borderId="3" xfId="0" applyNumberFormat="1" applyFont="1" applyFill="1" applyBorder="1"/>
    <xf numFmtId="170" fontId="4" fillId="30" borderId="3" xfId="1" applyNumberFormat="1" applyFont="1" applyFill="1" applyBorder="1" applyAlignment="1" applyProtection="1">
      <alignment horizontal="right" indent="1"/>
    </xf>
    <xf numFmtId="174" fontId="4" fillId="30" borderId="6" xfId="0" applyNumberFormat="1" applyFont="1" applyFill="1" applyBorder="1" applyAlignment="1">
      <alignment horizontal="right" indent="1"/>
    </xf>
    <xf numFmtId="4" fontId="4" fillId="30" borderId="6" xfId="0" applyNumberFormat="1" applyFont="1" applyFill="1" applyBorder="1" applyAlignment="1">
      <alignment horizontal="right" indent="1"/>
    </xf>
    <xf numFmtId="170" fontId="4" fillId="0" borderId="3" xfId="1" applyNumberFormat="1" applyFont="1" applyBorder="1" applyAlignment="1" applyProtection="1">
      <alignment horizontal="right" indent="1"/>
    </xf>
    <xf numFmtId="4" fontId="4" fillId="4" borderId="3" xfId="0" applyNumberFormat="1" applyFont="1" applyFill="1" applyBorder="1" applyAlignment="1">
      <alignment horizontal="right" indent="1"/>
    </xf>
    <xf numFmtId="0" fontId="23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2" fontId="4" fillId="22" borderId="9" xfId="0" applyNumberFormat="1" applyFont="1" applyFill="1" applyBorder="1" applyAlignment="1">
      <alignment horizontal="right" indent="1"/>
    </xf>
    <xf numFmtId="2" fontId="4" fillId="22" borderId="6" xfId="0" applyNumberFormat="1" applyFont="1" applyFill="1" applyBorder="1" applyAlignment="1">
      <alignment horizontal="right" indent="1"/>
    </xf>
    <xf numFmtId="0" fontId="11" fillId="0" borderId="3" xfId="0" applyFont="1" applyBorder="1" applyAlignment="1">
      <alignment horizontal="center"/>
    </xf>
    <xf numFmtId="2" fontId="11" fillId="0" borderId="3" xfId="0" applyNumberFormat="1" applyFont="1" applyBorder="1" applyAlignment="1">
      <alignment horizontal="right" inden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right" indent="1"/>
    </xf>
    <xf numFmtId="0" fontId="11" fillId="0" borderId="7" xfId="0" applyFont="1" applyBorder="1" applyAlignment="1">
      <alignment horizontal="left"/>
    </xf>
    <xf numFmtId="0" fontId="11" fillId="5" borderId="1" xfId="0" applyFont="1" applyFill="1" applyBorder="1"/>
    <xf numFmtId="1" fontId="11" fillId="6" borderId="3" xfId="0" applyNumberFormat="1" applyFont="1" applyFill="1" applyBorder="1" applyAlignment="1">
      <alignment horizontal="center"/>
    </xf>
    <xf numFmtId="0" fontId="11" fillId="6" borderId="4" xfId="0" applyFont="1" applyFill="1" applyBorder="1"/>
    <xf numFmtId="0" fontId="11" fillId="24" borderId="3" xfId="0" applyFont="1" applyFill="1" applyBorder="1" applyAlignment="1">
      <alignment horizontal="center"/>
    </xf>
    <xf numFmtId="2" fontId="11" fillId="24" borderId="3" xfId="0" applyNumberFormat="1" applyFont="1" applyFill="1" applyBorder="1" applyAlignment="1">
      <alignment horizontal="right" indent="1"/>
    </xf>
    <xf numFmtId="0" fontId="11" fillId="24" borderId="4" xfId="0" applyFont="1" applyFill="1" applyBorder="1"/>
    <xf numFmtId="2" fontId="11" fillId="24" borderId="6" xfId="0" applyNumberFormat="1" applyFont="1" applyFill="1" applyBorder="1" applyAlignment="1">
      <alignment horizontal="right" indent="1"/>
    </xf>
    <xf numFmtId="0" fontId="11" fillId="0" borderId="9" xfId="0" applyFont="1" applyBorder="1" applyAlignment="1">
      <alignment horizontal="center"/>
    </xf>
    <xf numFmtId="2" fontId="11" fillId="24" borderId="9" xfId="0" applyNumberFormat="1" applyFont="1" applyFill="1" applyBorder="1" applyAlignment="1">
      <alignment horizontal="right" indent="1"/>
    </xf>
    <xf numFmtId="0" fontId="11" fillId="0" borderId="10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3" fontId="4" fillId="8" borderId="3" xfId="0" applyNumberFormat="1" applyFont="1" applyFill="1" applyBorder="1" applyAlignment="1">
      <alignment horizontal="right" indent="1"/>
    </xf>
    <xf numFmtId="170" fontId="4" fillId="24" borderId="3" xfId="1" applyNumberFormat="1" applyFont="1" applyFill="1" applyBorder="1" applyAlignment="1" applyProtection="1">
      <alignment horizontal="right"/>
    </xf>
    <xf numFmtId="0" fontId="8" fillId="0" borderId="0" xfId="2"/>
    <xf numFmtId="165" fontId="2" fillId="0" borderId="3" xfId="0" applyNumberFormat="1" applyFont="1" applyBorder="1" applyAlignment="1">
      <alignment horizontal="right" vertical="center" indent="1"/>
    </xf>
    <xf numFmtId="2" fontId="2" fillId="26" borderId="3" xfId="0" applyNumberFormat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 wrapText="1"/>
    </xf>
    <xf numFmtId="2" fontId="4" fillId="8" borderId="3" xfId="0" applyNumberFormat="1" applyFont="1" applyFill="1" applyBorder="1" applyAlignment="1">
      <alignment horizontal="right" indent="1"/>
    </xf>
    <xf numFmtId="0" fontId="2" fillId="32" borderId="3" xfId="0" applyFont="1" applyFill="1" applyBorder="1" applyAlignment="1">
      <alignment horizontal="center" vertical="center"/>
    </xf>
    <xf numFmtId="166" fontId="2" fillId="32" borderId="3" xfId="0" applyNumberFormat="1" applyFont="1" applyFill="1" applyBorder="1" applyAlignment="1">
      <alignment horizontal="right" vertical="center" indent="1"/>
    </xf>
    <xf numFmtId="0" fontId="2" fillId="32" borderId="4" xfId="0" applyFont="1" applyFill="1" applyBorder="1" applyAlignment="1">
      <alignment vertical="center"/>
    </xf>
    <xf numFmtId="0" fontId="11" fillId="5" borderId="5" xfId="0" applyFont="1" applyFill="1" applyBorder="1"/>
    <xf numFmtId="1" fontId="11" fillId="6" borderId="6" xfId="0" applyNumberFormat="1" applyFont="1" applyFill="1" applyBorder="1" applyAlignment="1">
      <alignment horizontal="center"/>
    </xf>
    <xf numFmtId="2" fontId="11" fillId="6" borderId="6" xfId="0" applyNumberFormat="1" applyFont="1" applyFill="1" applyBorder="1" applyAlignment="1">
      <alignment horizontal="right" indent="1"/>
    </xf>
    <xf numFmtId="0" fontId="11" fillId="6" borderId="7" xfId="0" applyFont="1" applyFill="1" applyBorder="1"/>
    <xf numFmtId="0" fontId="4" fillId="8" borderId="1" xfId="0" applyFont="1" applyFill="1" applyBorder="1" applyAlignment="1">
      <alignment vertical="center"/>
    </xf>
    <xf numFmtId="0" fontId="4" fillId="33" borderId="3" xfId="0" applyFont="1" applyFill="1" applyBorder="1"/>
    <xf numFmtId="4" fontId="4" fillId="33" borderId="3" xfId="0" applyNumberFormat="1" applyFont="1" applyFill="1" applyBorder="1" applyAlignment="1">
      <alignment horizontal="right" indent="1"/>
    </xf>
    <xf numFmtId="2" fontId="4" fillId="0" borderId="3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right" vertical="center" indent="1"/>
    </xf>
    <xf numFmtId="10" fontId="11" fillId="0" borderId="1" xfId="0" applyNumberFormat="1" applyFont="1" applyBorder="1"/>
    <xf numFmtId="178" fontId="11" fillId="0" borderId="3" xfId="0" applyNumberFormat="1" applyFont="1" applyBorder="1"/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1" fontId="2" fillId="7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4" fillId="7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9" fontId="4" fillId="7" borderId="0" xfId="6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11" xfId="0" applyFont="1" applyBorder="1" applyAlignment="1">
      <alignment horizontal="right"/>
    </xf>
    <xf numFmtId="2" fontId="32" fillId="0" borderId="1" xfId="0" applyNumberFormat="1" applyFont="1" applyBorder="1"/>
    <xf numFmtId="0" fontId="32" fillId="0" borderId="4" xfId="0" applyFont="1" applyBorder="1"/>
    <xf numFmtId="0" fontId="32" fillId="0" borderId="0" xfId="0" applyFont="1"/>
    <xf numFmtId="0" fontId="33" fillId="0" borderId="0" xfId="0" applyFont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26" borderId="1" xfId="0" applyFont="1" applyFill="1" applyBorder="1" applyAlignment="1">
      <alignment vertical="center"/>
    </xf>
    <xf numFmtId="0" fontId="11" fillId="26" borderId="3" xfId="0" applyFont="1" applyFill="1" applyBorder="1" applyAlignment="1">
      <alignment horizontal="center" vertical="center"/>
    </xf>
    <xf numFmtId="0" fontId="4" fillId="26" borderId="4" xfId="0" applyFont="1" applyFill="1" applyBorder="1" applyAlignment="1">
      <alignment vertical="center"/>
    </xf>
    <xf numFmtId="0" fontId="2" fillId="26" borderId="3" xfId="0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vertical="center"/>
    </xf>
    <xf numFmtId="0" fontId="2" fillId="18" borderId="1" xfId="0" applyFont="1" applyFill="1" applyBorder="1" applyAlignment="1">
      <alignment vertical="center"/>
    </xf>
    <xf numFmtId="10" fontId="11" fillId="18" borderId="3" xfId="1" applyNumberFormat="1" applyFont="1" applyFill="1" applyBorder="1" applyAlignment="1">
      <alignment horizontal="center"/>
    </xf>
    <xf numFmtId="165" fontId="4" fillId="18" borderId="3" xfId="0" applyNumberFormat="1" applyFont="1" applyFill="1" applyBorder="1" applyAlignment="1">
      <alignment horizontal="right" vertical="center" indent="1"/>
    </xf>
    <xf numFmtId="0" fontId="4" fillId="18" borderId="4" xfId="0" applyFont="1" applyFill="1" applyBorder="1" applyAlignment="1">
      <alignment vertical="center"/>
    </xf>
    <xf numFmtId="1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7" borderId="2" xfId="6" applyFont="1" applyFill="1" applyBorder="1" applyAlignment="1" applyProtection="1">
      <alignment horizontal="center" vertical="center" wrapText="1"/>
    </xf>
    <xf numFmtId="9" fontId="3" fillId="0" borderId="0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 indent="1"/>
    </xf>
    <xf numFmtId="166" fontId="11" fillId="0" borderId="1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166" fontId="12" fillId="0" borderId="11" xfId="0" applyNumberFormat="1" applyFont="1" applyBorder="1" applyAlignment="1">
      <alignment horizontal="center" vertical="center" wrapText="1"/>
    </xf>
    <xf numFmtId="174" fontId="4" fillId="0" borderId="6" xfId="0" applyNumberFormat="1" applyFont="1" applyBorder="1" applyAlignment="1">
      <alignment horizontal="right" indent="1"/>
    </xf>
    <xf numFmtId="1" fontId="4" fillId="0" borderId="3" xfId="0" applyNumberFormat="1" applyFont="1" applyBorder="1" applyAlignment="1">
      <alignment horizontal="right" indent="1"/>
    </xf>
    <xf numFmtId="0" fontId="12" fillId="0" borderId="0" xfId="0" applyFont="1" applyAlignment="1">
      <alignment horizontal="center" vertical="center"/>
    </xf>
    <xf numFmtId="2" fontId="11" fillId="0" borderId="3" xfId="0" applyNumberFormat="1" applyFont="1" applyBorder="1"/>
    <xf numFmtId="2" fontId="4" fillId="15" borderId="3" xfId="0" applyNumberFormat="1" applyFont="1" applyFill="1" applyBorder="1"/>
    <xf numFmtId="0" fontId="2" fillId="17" borderId="1" xfId="0" applyFont="1" applyFill="1" applyBorder="1" applyAlignment="1">
      <alignment vertical="center"/>
    </xf>
    <xf numFmtId="0" fontId="2" fillId="17" borderId="9" xfId="0" applyFont="1" applyFill="1" applyBorder="1" applyAlignment="1">
      <alignment vertical="center"/>
    </xf>
    <xf numFmtId="1" fontId="4" fillId="17" borderId="9" xfId="0" applyNumberFormat="1" applyFont="1" applyFill="1" applyBorder="1" applyAlignment="1">
      <alignment horizontal="right" vertical="center" indent="1"/>
    </xf>
    <xf numFmtId="3" fontId="4" fillId="17" borderId="9" xfId="0" applyNumberFormat="1" applyFont="1" applyFill="1" applyBorder="1" applyAlignment="1">
      <alignment horizontal="right" vertical="center" indent="1"/>
    </xf>
    <xf numFmtId="1" fontId="2" fillId="6" borderId="3" xfId="0" applyNumberFormat="1" applyFont="1" applyFill="1" applyBorder="1" applyAlignment="1">
      <alignment horizontal="right" indent="1"/>
    </xf>
    <xf numFmtId="2" fontId="2" fillId="6" borderId="3" xfId="0" applyNumberFormat="1" applyFont="1" applyFill="1" applyBorder="1" applyAlignment="1">
      <alignment horizontal="right" indent="1"/>
    </xf>
    <xf numFmtId="4" fontId="4" fillId="17" borderId="9" xfId="0" applyNumberFormat="1" applyFont="1" applyFill="1" applyBorder="1" applyAlignment="1">
      <alignment horizontal="right" vertical="center" indent="1"/>
    </xf>
    <xf numFmtId="0" fontId="4" fillId="35" borderId="1" xfId="0" applyFont="1" applyFill="1" applyBorder="1" applyAlignment="1">
      <alignment vertical="center" wrapText="1"/>
    </xf>
    <xf numFmtId="0" fontId="4" fillId="35" borderId="3" xfId="0" applyFont="1" applyFill="1" applyBorder="1" applyAlignment="1">
      <alignment vertical="center" wrapText="1"/>
    </xf>
    <xf numFmtId="2" fontId="4" fillId="1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right" indent="1"/>
    </xf>
    <xf numFmtId="2" fontId="3" fillId="0" borderId="3" xfId="0" applyNumberFormat="1" applyFont="1" applyBorder="1" applyAlignment="1">
      <alignment horizontal="right"/>
    </xf>
    <xf numFmtId="0" fontId="4" fillId="21" borderId="3" xfId="0" applyFont="1" applyFill="1" applyBorder="1" applyAlignment="1">
      <alignment horizontal="center"/>
    </xf>
    <xf numFmtId="1" fontId="4" fillId="21" borderId="3" xfId="0" applyNumberFormat="1" applyFont="1" applyFill="1" applyBorder="1" applyAlignment="1">
      <alignment horizontal="right" indent="1"/>
    </xf>
    <xf numFmtId="3" fontId="4" fillId="10" borderId="3" xfId="0" applyNumberFormat="1" applyFont="1" applyFill="1" applyBorder="1" applyAlignment="1">
      <alignment horizontal="right" indent="1"/>
    </xf>
    <xf numFmtId="0" fontId="13" fillId="0" borderId="14" xfId="0" applyFont="1" applyBorder="1" applyAlignment="1">
      <alignment horizontal="center" vertical="center"/>
    </xf>
    <xf numFmtId="0" fontId="10" fillId="0" borderId="13" xfId="0" applyFont="1" applyBorder="1"/>
    <xf numFmtId="0" fontId="2" fillId="36" borderId="3" xfId="0" applyFont="1" applyFill="1" applyBorder="1"/>
    <xf numFmtId="170" fontId="2" fillId="37" borderId="3" xfId="0" applyNumberFormat="1" applyFont="1" applyFill="1" applyBorder="1" applyAlignment="1">
      <alignment horizontal="right" indent="1"/>
    </xf>
    <xf numFmtId="0" fontId="2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 indent="1"/>
    </xf>
    <xf numFmtId="4" fontId="0" fillId="0" borderId="13" xfId="0" applyNumberFormat="1" applyBorder="1"/>
    <xf numFmtId="4" fontId="0" fillId="0" borderId="15" xfId="0" applyNumberFormat="1" applyBorder="1"/>
    <xf numFmtId="3" fontId="10" fillId="0" borderId="15" xfId="0" applyNumberFormat="1" applyFont="1" applyBorder="1"/>
    <xf numFmtId="4" fontId="10" fillId="0" borderId="15" xfId="0" applyNumberFormat="1" applyFont="1" applyBorder="1"/>
    <xf numFmtId="2" fontId="0" fillId="0" borderId="13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3" fontId="10" fillId="0" borderId="13" xfId="0" applyNumberFormat="1" applyFont="1" applyBorder="1"/>
    <xf numFmtId="4" fontId="10" fillId="0" borderId="13" xfId="0" applyNumberFormat="1" applyFont="1" applyBorder="1"/>
    <xf numFmtId="3" fontId="13" fillId="0" borderId="14" xfId="0" applyNumberFormat="1" applyFont="1" applyBorder="1"/>
    <xf numFmtId="4" fontId="13" fillId="0" borderId="14" xfId="0" applyNumberFormat="1" applyFont="1" applyBorder="1"/>
    <xf numFmtId="2" fontId="13" fillId="0" borderId="14" xfId="0" applyNumberFormat="1" applyFont="1" applyBorder="1"/>
    <xf numFmtId="1" fontId="13" fillId="0" borderId="14" xfId="0" applyNumberFormat="1" applyFont="1" applyBorder="1"/>
    <xf numFmtId="3" fontId="13" fillId="0" borderId="14" xfId="0" applyNumberFormat="1" applyFon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173" fontId="0" fillId="0" borderId="15" xfId="0" applyNumberFormat="1" applyBorder="1" applyAlignment="1">
      <alignment horizontal="right"/>
    </xf>
    <xf numFmtId="174" fontId="3" fillId="8" borderId="3" xfId="0" applyNumberFormat="1" applyFont="1" applyFill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10" fontId="0" fillId="0" borderId="13" xfId="0" applyNumberFormat="1" applyBorder="1"/>
    <xf numFmtId="10" fontId="0" fillId="0" borderId="15" xfId="0" applyNumberFormat="1" applyBorder="1"/>
    <xf numFmtId="170" fontId="13" fillId="0" borderId="14" xfId="0" applyNumberFormat="1" applyFont="1" applyBorder="1"/>
    <xf numFmtId="2" fontId="13" fillId="0" borderId="11" xfId="0" applyNumberFormat="1" applyFont="1" applyBorder="1"/>
    <xf numFmtId="3" fontId="0" fillId="0" borderId="11" xfId="0" applyNumberFormat="1" applyBorder="1"/>
    <xf numFmtId="4" fontId="0" fillId="0" borderId="11" xfId="0" applyNumberFormat="1" applyBorder="1"/>
    <xf numFmtId="2" fontId="0" fillId="0" borderId="11" xfId="0" applyNumberFormat="1" applyBorder="1"/>
    <xf numFmtId="0" fontId="2" fillId="5" borderId="4" xfId="0" applyFont="1" applyFill="1" applyBorder="1"/>
    <xf numFmtId="0" fontId="4" fillId="30" borderId="4" xfId="0" applyFont="1" applyFill="1" applyBorder="1"/>
    <xf numFmtId="1" fontId="2" fillId="21" borderId="3" xfId="0" applyNumberFormat="1" applyFont="1" applyFill="1" applyBorder="1" applyAlignment="1">
      <alignment horizontal="right" indent="1"/>
    </xf>
    <xf numFmtId="3" fontId="10" fillId="0" borderId="0" xfId="0" applyNumberFormat="1" applyFont="1" applyAlignment="1">
      <alignment horizontal="right"/>
    </xf>
    <xf numFmtId="3" fontId="10" fillId="0" borderId="11" xfId="0" applyNumberFormat="1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4" fontId="13" fillId="0" borderId="0" xfId="0" applyNumberFormat="1" applyFont="1"/>
    <xf numFmtId="3" fontId="4" fillId="8" borderId="3" xfId="0" applyNumberFormat="1" applyFont="1" applyFill="1" applyBorder="1" applyAlignment="1">
      <alignment horizontal="right" vertical="center" indent="1"/>
    </xf>
    <xf numFmtId="3" fontId="4" fillId="10" borderId="3" xfId="0" applyNumberFormat="1" applyFont="1" applyFill="1" applyBorder="1" applyAlignment="1">
      <alignment horizontal="right" vertical="center" indent="1"/>
    </xf>
    <xf numFmtId="3" fontId="13" fillId="0" borderId="11" xfId="0" applyNumberFormat="1" applyFont="1" applyBorder="1"/>
    <xf numFmtId="0" fontId="13" fillId="0" borderId="0" xfId="0" applyFont="1"/>
    <xf numFmtId="10" fontId="13" fillId="0" borderId="14" xfId="0" applyNumberFormat="1" applyFont="1" applyBorder="1" applyAlignment="1">
      <alignment horizontal="right"/>
    </xf>
    <xf numFmtId="0" fontId="4" fillId="38" borderId="3" xfId="0" applyFont="1" applyFill="1" applyBorder="1" applyAlignment="1">
      <alignment horizontal="center"/>
    </xf>
    <xf numFmtId="3" fontId="4" fillId="38" borderId="3" xfId="0" applyNumberFormat="1" applyFont="1" applyFill="1" applyBorder="1" applyAlignment="1">
      <alignment horizontal="right" indent="1"/>
    </xf>
    <xf numFmtId="2" fontId="4" fillId="0" borderId="3" xfId="0" applyNumberFormat="1" applyFont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15" fillId="0" borderId="11" xfId="0" applyFont="1" applyBorder="1" applyAlignment="1">
      <alignment horizontal="center" vertical="center"/>
    </xf>
    <xf numFmtId="166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" fontId="11" fillId="6" borderId="3" xfId="0" applyNumberFormat="1" applyFont="1" applyFill="1" applyBorder="1" applyAlignment="1">
      <alignment horizontal="right" indent="1"/>
    </xf>
    <xf numFmtId="0" fontId="11" fillId="18" borderId="11" xfId="0" applyFont="1" applyFill="1" applyBorder="1" applyAlignment="1">
      <alignment horizontal="center" vertical="center" wrapText="1"/>
    </xf>
    <xf numFmtId="2" fontId="4" fillId="21" borderId="3" xfId="0" applyNumberFormat="1" applyFont="1" applyFill="1" applyBorder="1" applyAlignment="1">
      <alignment horizontal="right" indent="1"/>
    </xf>
    <xf numFmtId="3" fontId="0" fillId="0" borderId="14" xfId="0" applyNumberFormat="1" applyBorder="1"/>
    <xf numFmtId="2" fontId="0" fillId="0" borderId="0" xfId="0" applyNumberFormat="1" applyAlignment="1">
      <alignment horizontal="right"/>
    </xf>
    <xf numFmtId="0" fontId="1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right"/>
    </xf>
    <xf numFmtId="10" fontId="13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15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170" fontId="4" fillId="10" borderId="3" xfId="0" applyNumberFormat="1" applyFont="1" applyFill="1" applyBorder="1" applyAlignment="1">
      <alignment horizontal="right" inden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3" fontId="0" fillId="0" borderId="22" xfId="0" applyNumberFormat="1" applyBorder="1" applyAlignment="1">
      <alignment horizontal="right"/>
    </xf>
    <xf numFmtId="0" fontId="0" fillId="0" borderId="23" xfId="0" applyBorder="1"/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0" fontId="13" fillId="0" borderId="25" xfId="0" applyNumberFormat="1" applyFont="1" applyBorder="1" applyAlignment="1">
      <alignment horizontal="right"/>
    </xf>
    <xf numFmtId="0" fontId="13" fillId="0" borderId="21" xfId="0" applyFont="1" applyBorder="1" applyAlignment="1">
      <alignment horizontal="center" vertical="center"/>
    </xf>
    <xf numFmtId="10" fontId="0" fillId="0" borderId="22" xfId="0" applyNumberFormat="1" applyBorder="1" applyAlignment="1">
      <alignment horizontal="right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3" fontId="13" fillId="0" borderId="27" xfId="0" applyNumberFormat="1" applyFont="1" applyBorder="1"/>
    <xf numFmtId="4" fontId="13" fillId="0" borderId="27" xfId="0" applyNumberFormat="1" applyFont="1" applyBorder="1"/>
    <xf numFmtId="2" fontId="13" fillId="0" borderId="27" xfId="0" applyNumberFormat="1" applyFont="1" applyBorder="1"/>
    <xf numFmtId="3" fontId="13" fillId="0" borderId="27" xfId="0" applyNumberFormat="1" applyFont="1" applyBorder="1" applyAlignment="1">
      <alignment horizontal="right"/>
    </xf>
    <xf numFmtId="10" fontId="13" fillId="0" borderId="2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indent="1"/>
    </xf>
    <xf numFmtId="0" fontId="2" fillId="39" borderId="1" xfId="0" applyFont="1" applyFill="1" applyBorder="1" applyAlignment="1">
      <alignment vertical="center"/>
    </xf>
    <xf numFmtId="0" fontId="2" fillId="39" borderId="9" xfId="0" applyFont="1" applyFill="1" applyBorder="1" applyAlignment="1">
      <alignment vertical="center"/>
    </xf>
    <xf numFmtId="3" fontId="4" fillId="39" borderId="9" xfId="0" applyNumberFormat="1" applyFont="1" applyFill="1" applyBorder="1" applyAlignment="1">
      <alignment horizontal="right" vertical="center" indent="1"/>
    </xf>
    <xf numFmtId="0" fontId="2" fillId="40" borderId="3" xfId="0" applyFont="1" applyFill="1" applyBorder="1"/>
    <xf numFmtId="1" fontId="2" fillId="40" borderId="3" xfId="0" applyNumberFormat="1" applyFont="1" applyFill="1" applyBorder="1" applyAlignment="1">
      <alignment horizontal="right" indent="1"/>
    </xf>
    <xf numFmtId="10" fontId="4" fillId="31" borderId="3" xfId="0" applyNumberFormat="1" applyFont="1" applyFill="1" applyBorder="1" applyAlignment="1">
      <alignment horizontal="center"/>
    </xf>
    <xf numFmtId="3" fontId="4" fillId="31" borderId="3" xfId="0" applyNumberFormat="1" applyFont="1" applyFill="1" applyBorder="1" applyAlignment="1">
      <alignment horizontal="right" indent="1"/>
    </xf>
    <xf numFmtId="1" fontId="4" fillId="11" borderId="9" xfId="0" applyNumberFormat="1" applyFont="1" applyFill="1" applyBorder="1" applyAlignment="1">
      <alignment horizontal="right" indent="1"/>
    </xf>
    <xf numFmtId="0" fontId="4" fillId="28" borderId="3" xfId="0" applyFont="1" applyFill="1" applyBorder="1" applyAlignment="1">
      <alignment vertical="center"/>
    </xf>
    <xf numFmtId="0" fontId="4" fillId="1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6" borderId="1" xfId="0" applyFont="1" applyFill="1" applyBorder="1" applyAlignment="1">
      <alignment vertical="center"/>
    </xf>
    <xf numFmtId="0" fontId="2" fillId="21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2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38" borderId="1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right" indent="1"/>
    </xf>
    <xf numFmtId="0" fontId="2" fillId="31" borderId="1" xfId="0" applyFont="1" applyFill="1" applyBorder="1" applyAlignment="1">
      <alignment vertical="center"/>
    </xf>
    <xf numFmtId="0" fontId="2" fillId="31" borderId="3" xfId="0" applyFont="1" applyFill="1" applyBorder="1"/>
    <xf numFmtId="2" fontId="2" fillId="31" borderId="3" xfId="0" applyNumberFormat="1" applyFont="1" applyFill="1" applyBorder="1" applyAlignment="1">
      <alignment horizontal="right" inden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10" fillId="0" borderId="13" xfId="0" applyNumberFormat="1" applyFont="1" applyBorder="1"/>
    <xf numFmtId="2" fontId="10" fillId="0" borderId="15" xfId="0" applyNumberFormat="1" applyFont="1" applyBorder="1"/>
    <xf numFmtId="0" fontId="2" fillId="27" borderId="3" xfId="0" applyFont="1" applyFill="1" applyBorder="1"/>
    <xf numFmtId="4" fontId="4" fillId="31" borderId="9" xfId="0" applyNumberFormat="1" applyFont="1" applyFill="1" applyBorder="1" applyAlignment="1">
      <alignment horizontal="right" vertical="center" indent="1"/>
    </xf>
    <xf numFmtId="174" fontId="3" fillId="31" borderId="3" xfId="0" applyNumberFormat="1" applyFont="1" applyFill="1" applyBorder="1" applyAlignment="1">
      <alignment horizontal="right" indent="1"/>
    </xf>
    <xf numFmtId="0" fontId="4" fillId="27" borderId="1" xfId="0" applyFont="1" applyFill="1" applyBorder="1" applyAlignment="1">
      <alignment vertical="center"/>
    </xf>
    <xf numFmtId="3" fontId="4" fillId="31" borderId="9" xfId="0" applyNumberFormat="1" applyFont="1" applyFill="1" applyBorder="1" applyAlignment="1">
      <alignment horizontal="right" vertical="center" indent="1"/>
    </xf>
    <xf numFmtId="0" fontId="4" fillId="41" borderId="1" xfId="0" applyFont="1" applyFill="1" applyBorder="1" applyAlignment="1">
      <alignment vertical="center"/>
    </xf>
    <xf numFmtId="2" fontId="4" fillId="41" borderId="3" xfId="0" applyNumberFormat="1" applyFont="1" applyFill="1" applyBorder="1" applyAlignment="1">
      <alignment horizontal="center"/>
    </xf>
    <xf numFmtId="3" fontId="4" fillId="41" borderId="3" xfId="0" applyNumberFormat="1" applyFont="1" applyFill="1" applyBorder="1" applyAlignment="1">
      <alignment horizontal="right" indent="1"/>
    </xf>
    <xf numFmtId="174" fontId="4" fillId="31" borderId="6" xfId="0" applyNumberFormat="1" applyFont="1" applyFill="1" applyBorder="1" applyAlignment="1">
      <alignment horizontal="right" indent="1"/>
    </xf>
    <xf numFmtId="3" fontId="4" fillId="31" borderId="6" xfId="0" applyNumberFormat="1" applyFont="1" applyFill="1" applyBorder="1" applyAlignment="1">
      <alignment horizontal="right" indent="1"/>
    </xf>
    <xf numFmtId="0" fontId="4" fillId="31" borderId="4" xfId="0" applyFont="1" applyFill="1" applyBorder="1"/>
    <xf numFmtId="2" fontId="4" fillId="26" borderId="3" xfId="0" applyNumberFormat="1" applyFont="1" applyFill="1" applyBorder="1" applyAlignment="1">
      <alignment horizontal="right" indent="1"/>
    </xf>
    <xf numFmtId="0" fontId="3" fillId="0" borderId="3" xfId="0" applyFont="1" applyBorder="1" applyAlignment="1">
      <alignment vertical="center"/>
    </xf>
    <xf numFmtId="2" fontId="2" fillId="8" borderId="3" xfId="0" applyNumberFormat="1" applyFont="1" applyFill="1" applyBorder="1" applyAlignment="1">
      <alignment horizontal="right" indent="1"/>
    </xf>
    <xf numFmtId="1" fontId="4" fillId="38" borderId="3" xfId="0" applyNumberFormat="1" applyFont="1" applyFill="1" applyBorder="1" applyAlignment="1">
      <alignment horizontal="right" indent="1"/>
    </xf>
    <xf numFmtId="3" fontId="4" fillId="16" borderId="3" xfId="0" applyNumberFormat="1" applyFont="1" applyFill="1" applyBorder="1" applyAlignment="1">
      <alignment horizontal="right" inden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right"/>
    </xf>
    <xf numFmtId="10" fontId="11" fillId="0" borderId="3" xfId="0" applyNumberFormat="1" applyFont="1" applyBorder="1"/>
    <xf numFmtId="0" fontId="14" fillId="0" borderId="3" xfId="0" applyFont="1" applyBorder="1" applyAlignment="1">
      <alignment horizontal="center" vertical="center" wrapText="1"/>
    </xf>
    <xf numFmtId="2" fontId="11" fillId="8" borderId="9" xfId="0" applyNumberFormat="1" applyFont="1" applyFill="1" applyBorder="1" applyAlignment="1">
      <alignment horizontal="right" indent="1"/>
    </xf>
    <xf numFmtId="0" fontId="4" fillId="26" borderId="3" xfId="0" applyFont="1" applyFill="1" applyBorder="1" applyAlignment="1">
      <alignment horizontal="center"/>
    </xf>
    <xf numFmtId="0" fontId="2" fillId="26" borderId="3" xfId="0" applyFont="1" applyFill="1" applyBorder="1"/>
    <xf numFmtId="0" fontId="4" fillId="26" borderId="3" xfId="0" applyFont="1" applyFill="1" applyBorder="1"/>
    <xf numFmtId="0" fontId="4" fillId="26" borderId="3" xfId="0" applyFont="1" applyFill="1" applyBorder="1" applyAlignment="1">
      <alignment horizontal="left"/>
    </xf>
    <xf numFmtId="0" fontId="18" fillId="33" borderId="1" xfId="0" applyFont="1" applyFill="1" applyBorder="1" applyAlignment="1">
      <alignment horizontal="left" vertical="center" wrapText="1"/>
    </xf>
    <xf numFmtId="0" fontId="18" fillId="33" borderId="3" xfId="0" applyFont="1" applyFill="1" applyBorder="1" applyAlignment="1">
      <alignment horizontal="center" vertical="center" wrapText="1"/>
    </xf>
    <xf numFmtId="2" fontId="4" fillId="33" borderId="3" xfId="0" applyNumberFormat="1" applyFont="1" applyFill="1" applyBorder="1" applyAlignment="1">
      <alignment horizontal="right" indent="1"/>
    </xf>
    <xf numFmtId="0" fontId="4" fillId="33" borderId="4" xfId="0" applyFont="1" applyFill="1" applyBorder="1"/>
    <xf numFmtId="0" fontId="11" fillId="31" borderId="5" xfId="0" applyFont="1" applyFill="1" applyBorder="1" applyAlignment="1">
      <alignment vertical="center"/>
    </xf>
    <xf numFmtId="0" fontId="11" fillId="31" borderId="3" xfId="0" applyFont="1" applyFill="1" applyBorder="1"/>
    <xf numFmtId="2" fontId="11" fillId="31" borderId="3" xfId="0" applyNumberFormat="1" applyFont="1" applyFill="1" applyBorder="1" applyAlignment="1">
      <alignment horizontal="right" indent="1"/>
    </xf>
    <xf numFmtId="1" fontId="11" fillId="31" borderId="3" xfId="0" applyNumberFormat="1" applyFont="1" applyFill="1" applyBorder="1" applyAlignment="1">
      <alignment horizontal="right" indent="1"/>
    </xf>
    <xf numFmtId="3" fontId="2" fillId="21" borderId="3" xfId="0" applyNumberFormat="1" applyFont="1" applyFill="1" applyBorder="1" applyAlignment="1">
      <alignment horizontal="right" indent="1"/>
    </xf>
    <xf numFmtId="0" fontId="4" fillId="21" borderId="3" xfId="0" applyFont="1" applyFill="1" applyBorder="1" applyAlignment="1">
      <alignment horizontal="right"/>
    </xf>
    <xf numFmtId="9" fontId="4" fillId="21" borderId="3" xfId="0" applyNumberFormat="1" applyFont="1" applyFill="1" applyBorder="1" applyAlignment="1">
      <alignment horizontal="right"/>
    </xf>
    <xf numFmtId="0" fontId="11" fillId="42" borderId="5" xfId="0" applyFont="1" applyFill="1" applyBorder="1" applyAlignment="1">
      <alignment horizontal="left" vertical="center"/>
    </xf>
    <xf numFmtId="0" fontId="11" fillId="42" borderId="6" xfId="0" applyFont="1" applyFill="1" applyBorder="1"/>
    <xf numFmtId="0" fontId="11" fillId="42" borderId="8" xfId="0" applyFont="1" applyFill="1" applyBorder="1" applyAlignment="1">
      <alignment horizontal="left" vertical="center"/>
    </xf>
    <xf numFmtId="0" fontId="11" fillId="42" borderId="9" xfId="0" applyFont="1" applyFill="1" applyBorder="1"/>
    <xf numFmtId="0" fontId="27" fillId="8" borderId="3" xfId="0" applyFont="1" applyFill="1" applyBorder="1" applyAlignment="1">
      <alignment horizontal="left"/>
    </xf>
    <xf numFmtId="1" fontId="2" fillId="26" borderId="3" xfId="0" applyNumberFormat="1" applyFont="1" applyFill="1" applyBorder="1" applyAlignment="1">
      <alignment horizontal="right" indent="1"/>
    </xf>
    <xf numFmtId="0" fontId="4" fillId="43" borderId="5" xfId="0" applyFont="1" applyFill="1" applyBorder="1" applyAlignment="1">
      <alignment vertical="center"/>
    </xf>
    <xf numFmtId="0" fontId="4" fillId="43" borderId="6" xfId="0" applyFont="1" applyFill="1" applyBorder="1"/>
    <xf numFmtId="1" fontId="4" fillId="43" borderId="6" xfId="0" applyNumberFormat="1" applyFont="1" applyFill="1" applyBorder="1" applyAlignment="1">
      <alignment horizontal="right" indent="1"/>
    </xf>
    <xf numFmtId="0" fontId="4" fillId="43" borderId="8" xfId="0" applyFont="1" applyFill="1" applyBorder="1" applyAlignment="1">
      <alignment vertical="center"/>
    </xf>
    <xf numFmtId="0" fontId="4" fillId="43" borderId="9" xfId="0" applyFont="1" applyFill="1" applyBorder="1"/>
    <xf numFmtId="1" fontId="4" fillId="43" borderId="9" xfId="0" applyNumberFormat="1" applyFont="1" applyFill="1" applyBorder="1" applyAlignment="1">
      <alignment horizontal="right" indent="1"/>
    </xf>
    <xf numFmtId="0" fontId="4" fillId="42" borderId="3" xfId="0" applyFont="1" applyFill="1" applyBorder="1"/>
    <xf numFmtId="166" fontId="2" fillId="42" borderId="3" xfId="0" applyNumberFormat="1" applyFont="1" applyFill="1" applyBorder="1" applyAlignment="1">
      <alignment horizontal="right" indent="1"/>
    </xf>
    <xf numFmtId="0" fontId="4" fillId="26" borderId="3" xfId="0" applyFont="1" applyFill="1" applyBorder="1" applyAlignment="1">
      <alignment vertical="center"/>
    </xf>
    <xf numFmtId="2" fontId="2" fillId="42" borderId="9" xfId="0" applyNumberFormat="1" applyFont="1" applyFill="1" applyBorder="1" applyAlignment="1">
      <alignment horizontal="right" indent="1"/>
    </xf>
    <xf numFmtId="174" fontId="4" fillId="0" borderId="3" xfId="0" applyNumberFormat="1" applyFont="1" applyBorder="1" applyAlignment="1">
      <alignment horizontal="right" indent="1"/>
    </xf>
    <xf numFmtId="2" fontId="2" fillId="26" borderId="3" xfId="0" applyNumberFormat="1" applyFont="1" applyFill="1" applyBorder="1" applyAlignment="1">
      <alignment horizontal="right" indent="1"/>
    </xf>
    <xf numFmtId="0" fontId="2" fillId="26" borderId="4" xfId="0" applyFont="1" applyFill="1" applyBorder="1"/>
    <xf numFmtId="0" fontId="4" fillId="3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4" fillId="36" borderId="3" xfId="0" applyFont="1" applyFill="1" applyBorder="1"/>
    <xf numFmtId="2" fontId="2" fillId="36" borderId="3" xfId="0" applyNumberFormat="1" applyFont="1" applyFill="1" applyBorder="1" applyAlignment="1">
      <alignment horizontal="right" indent="1"/>
    </xf>
    <xf numFmtId="0" fontId="4" fillId="12" borderId="4" xfId="0" applyFont="1" applyFill="1" applyBorder="1"/>
    <xf numFmtId="170" fontId="2" fillId="21" borderId="3" xfId="0" applyNumberFormat="1" applyFont="1" applyFill="1" applyBorder="1" applyAlignment="1">
      <alignment horizontal="right" indent="1"/>
    </xf>
    <xf numFmtId="170" fontId="4" fillId="0" borderId="6" xfId="1" applyNumberFormat="1" applyFont="1" applyBorder="1" applyAlignment="1" applyProtection="1">
      <alignment horizontal="right" indent="1"/>
    </xf>
    <xf numFmtId="170" fontId="4" fillId="8" borderId="6" xfId="1" applyNumberFormat="1" applyFont="1" applyFill="1" applyBorder="1" applyAlignment="1" applyProtection="1">
      <alignment horizontal="right" indent="1"/>
    </xf>
    <xf numFmtId="173" fontId="4" fillId="8" borderId="3" xfId="0" applyNumberFormat="1" applyFont="1" applyFill="1" applyBorder="1" applyAlignment="1">
      <alignment horizontal="right" indent="1"/>
    </xf>
    <xf numFmtId="2" fontId="4" fillId="32" borderId="3" xfId="0" applyNumberFormat="1" applyFont="1" applyFill="1" applyBorder="1" applyAlignment="1">
      <alignment horizontal="center"/>
    </xf>
    <xf numFmtId="2" fontId="4" fillId="30" borderId="3" xfId="0" applyNumberFormat="1" applyFont="1" applyFill="1" applyBorder="1" applyAlignment="1">
      <alignment horizontal="right"/>
    </xf>
    <xf numFmtId="3" fontId="4" fillId="30" borderId="3" xfId="0" applyNumberFormat="1" applyFont="1" applyFill="1" applyBorder="1" applyAlignment="1">
      <alignment horizontal="right" indent="1"/>
    </xf>
    <xf numFmtId="0" fontId="2" fillId="24" borderId="1" xfId="0" applyFont="1" applyFill="1" applyBorder="1"/>
    <xf numFmtId="9" fontId="4" fillId="24" borderId="3" xfId="1" applyFont="1" applyFill="1" applyBorder="1" applyAlignment="1" applyProtection="1">
      <alignment horizontal="right" indent="1"/>
    </xf>
    <xf numFmtId="0" fontId="11" fillId="26" borderId="1" xfId="0" applyFont="1" applyFill="1" applyBorder="1" applyAlignment="1">
      <alignment horizontal="left" vertical="center"/>
    </xf>
    <xf numFmtId="0" fontId="11" fillId="26" borderId="3" xfId="0" applyFont="1" applyFill="1" applyBorder="1" applyAlignment="1">
      <alignment horizontal="left"/>
    </xf>
    <xf numFmtId="10" fontId="17" fillId="31" borderId="3" xfId="1" applyNumberFormat="1" applyFont="1" applyFill="1" applyBorder="1" applyAlignment="1">
      <alignment horizontal="center"/>
    </xf>
    <xf numFmtId="10" fontId="17" fillId="0" borderId="3" xfId="1" applyNumberFormat="1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2" fontId="3" fillId="10" borderId="9" xfId="0" applyNumberFormat="1" applyFont="1" applyFill="1" applyBorder="1" applyAlignment="1">
      <alignment horizontal="center"/>
    </xf>
    <xf numFmtId="0" fontId="2" fillId="45" borderId="1" xfId="0" applyFont="1" applyFill="1" applyBorder="1" applyAlignment="1">
      <alignment vertical="center"/>
    </xf>
    <xf numFmtId="0" fontId="2" fillId="45" borderId="3" xfId="0" applyFont="1" applyFill="1" applyBorder="1"/>
    <xf numFmtId="9" fontId="2" fillId="46" borderId="3" xfId="0" applyNumberFormat="1" applyFont="1" applyFill="1" applyBorder="1" applyAlignment="1">
      <alignment horizontal="right" indent="1"/>
    </xf>
    <xf numFmtId="0" fontId="2" fillId="25" borderId="1" xfId="0" applyFont="1" applyFill="1" applyBorder="1" applyAlignment="1">
      <alignment vertical="center"/>
    </xf>
    <xf numFmtId="0" fontId="2" fillId="25" borderId="3" xfId="0" applyFont="1" applyFill="1" applyBorder="1"/>
    <xf numFmtId="1" fontId="4" fillId="25" borderId="3" xfId="0" applyNumberFormat="1" applyFont="1" applyFill="1" applyBorder="1" applyAlignment="1">
      <alignment horizontal="right" indent="1"/>
    </xf>
    <xf numFmtId="3" fontId="4" fillId="35" borderId="3" xfId="0" applyNumberFormat="1" applyFont="1" applyFill="1" applyBorder="1" applyAlignment="1">
      <alignment horizontal="right" indent="1"/>
    </xf>
    <xf numFmtId="0" fontId="4" fillId="35" borderId="1" xfId="0" applyFont="1" applyFill="1" applyBorder="1"/>
    <xf numFmtId="0" fontId="4" fillId="35" borderId="3" xfId="0" applyFont="1" applyFill="1" applyBorder="1"/>
    <xf numFmtId="0" fontId="4" fillId="35" borderId="3" xfId="0" applyFont="1" applyFill="1" applyBorder="1" applyAlignment="1">
      <alignment horizontal="right" indent="1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7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2" borderId="1" xfId="0" applyFont="1" applyFill="1" applyBorder="1"/>
    <xf numFmtId="0" fontId="4" fillId="0" borderId="12" xfId="0" applyFont="1" applyBorder="1" applyAlignment="1">
      <alignment horizontal="left"/>
    </xf>
    <xf numFmtId="0" fontId="4" fillId="23" borderId="1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4" borderId="1" xfId="0" applyFont="1" applyFill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4" fillId="24" borderId="1" xfId="0" applyFont="1" applyFill="1" applyBorder="1" applyAlignment="1">
      <alignment vertical="center"/>
    </xf>
    <xf numFmtId="0" fontId="2" fillId="32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 wrapText="1"/>
    </xf>
    <xf numFmtId="0" fontId="2" fillId="13" borderId="1" xfId="0" applyFont="1" applyFill="1" applyBorder="1"/>
    <xf numFmtId="0" fontId="4" fillId="27" borderId="5" xfId="0" applyFont="1" applyFill="1" applyBorder="1" applyAlignment="1">
      <alignment horizontal="left"/>
    </xf>
    <xf numFmtId="0" fontId="4" fillId="27" borderId="8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2" fontId="4" fillId="0" borderId="11" xfId="0" applyNumberFormat="1" applyFont="1" applyBorder="1" applyAlignment="1">
      <alignment horizontal="right" indent="1"/>
    </xf>
    <xf numFmtId="1" fontId="11" fillId="0" borderId="3" xfId="0" applyNumberFormat="1" applyFont="1" applyBorder="1" applyAlignment="1">
      <alignment horizontal="right" indent="1"/>
    </xf>
    <xf numFmtId="166" fontId="2" fillId="0" borderId="3" xfId="0" applyNumberFormat="1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/>
    </xf>
    <xf numFmtId="9" fontId="4" fillId="0" borderId="3" xfId="0" applyNumberFormat="1" applyFont="1" applyBorder="1" applyAlignment="1">
      <alignment horizontal="right" vertical="center" indent="1"/>
    </xf>
    <xf numFmtId="2" fontId="4" fillId="0" borderId="6" xfId="0" applyNumberFormat="1" applyFont="1" applyBorder="1" applyAlignment="1">
      <alignment horizontal="right" indent="1"/>
    </xf>
    <xf numFmtId="2" fontId="4" fillId="0" borderId="9" xfId="0" applyNumberFormat="1" applyFont="1" applyBorder="1" applyAlignment="1">
      <alignment horizontal="right" indent="1"/>
    </xf>
    <xf numFmtId="0" fontId="5" fillId="0" borderId="1" xfId="0" applyFont="1" applyBorder="1" applyAlignment="1">
      <alignment vertical="center"/>
    </xf>
    <xf numFmtId="0" fontId="2" fillId="17" borderId="3" xfId="0" applyFont="1" applyFill="1" applyBorder="1"/>
    <xf numFmtId="0" fontId="2" fillId="6" borderId="3" xfId="0" applyFont="1" applyFill="1" applyBorder="1"/>
    <xf numFmtId="3" fontId="4" fillId="0" borderId="11" xfId="0" applyNumberFormat="1" applyFont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1" fontId="4" fillId="0" borderId="14" xfId="0" applyNumberFormat="1" applyFont="1" applyBorder="1" applyAlignment="1">
      <alignment horizontal="right" vertical="center" indent="1"/>
    </xf>
    <xf numFmtId="1" fontId="2" fillId="0" borderId="11" xfId="0" applyNumberFormat="1" applyFont="1" applyBorder="1" applyAlignment="1">
      <alignment horizontal="right" indent="1"/>
    </xf>
    <xf numFmtId="0" fontId="4" fillId="0" borderId="11" xfId="0" applyFont="1" applyBorder="1" applyAlignment="1">
      <alignment horizontal="right" indent="1"/>
    </xf>
    <xf numFmtId="1" fontId="4" fillId="0" borderId="11" xfId="0" applyNumberFormat="1" applyFont="1" applyBorder="1" applyAlignment="1">
      <alignment horizontal="right" indent="1"/>
    </xf>
    <xf numFmtId="2" fontId="11" fillId="0" borderId="11" xfId="0" applyNumberFormat="1" applyFont="1" applyBorder="1" applyAlignment="1">
      <alignment horizontal="right" indent="1"/>
    </xf>
    <xf numFmtId="1" fontId="4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0" fontId="5" fillId="0" borderId="9" xfId="0" applyFont="1" applyBorder="1" applyAlignment="1">
      <alignment horizontal="center"/>
    </xf>
    <xf numFmtId="2" fontId="4" fillId="43" borderId="6" xfId="0" applyNumberFormat="1" applyFont="1" applyFill="1" applyBorder="1" applyAlignment="1">
      <alignment horizontal="right" indent="1"/>
    </xf>
    <xf numFmtId="2" fontId="4" fillId="43" borderId="9" xfId="0" applyNumberFormat="1" applyFont="1" applyFill="1" applyBorder="1" applyAlignment="1">
      <alignment horizontal="right" indent="1"/>
    </xf>
    <xf numFmtId="0" fontId="4" fillId="0" borderId="4" xfId="0" applyFont="1" applyBorder="1" applyAlignment="1">
      <alignment horizontal="right" indent="1"/>
    </xf>
    <xf numFmtId="0" fontId="14" fillId="0" borderId="1" xfId="0" applyFont="1" applyBorder="1" applyAlignment="1">
      <alignment vertical="center"/>
    </xf>
    <xf numFmtId="2" fontId="4" fillId="0" borderId="4" xfId="0" applyNumberFormat="1" applyFont="1" applyBorder="1"/>
    <xf numFmtId="0" fontId="4" fillId="0" borderId="2" xfId="0" applyFont="1" applyBorder="1" applyAlignment="1">
      <alignment vertical="center"/>
    </xf>
    <xf numFmtId="2" fontId="11" fillId="0" borderId="0" xfId="0" applyNumberFormat="1" applyFont="1" applyAlignment="1">
      <alignment horizontal="right" indent="1"/>
    </xf>
    <xf numFmtId="0" fontId="0" fillId="0" borderId="13" xfId="0" applyBorder="1" applyAlignment="1">
      <alignment horizontal="center"/>
    </xf>
    <xf numFmtId="0" fontId="14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165" fontId="36" fillId="0" borderId="1" xfId="0" applyNumberFormat="1" applyFont="1" applyBorder="1" applyAlignment="1">
      <alignment horizontal="center"/>
    </xf>
    <xf numFmtId="2" fontId="17" fillId="0" borderId="11" xfId="0" applyNumberFormat="1" applyFont="1" applyBorder="1" applyAlignment="1">
      <alignment horizontal="right"/>
    </xf>
    <xf numFmtId="165" fontId="16" fillId="18" borderId="1" xfId="0" applyNumberFormat="1" applyFont="1" applyFill="1" applyBorder="1" applyAlignment="1">
      <alignment horizontal="center"/>
    </xf>
    <xf numFmtId="165" fontId="17" fillId="18" borderId="3" xfId="0" applyNumberFormat="1" applyFont="1" applyFill="1" applyBorder="1" applyAlignment="1">
      <alignment horizontal="center"/>
    </xf>
    <xf numFmtId="165" fontId="17" fillId="18" borderId="3" xfId="0" applyNumberFormat="1" applyFont="1" applyFill="1" applyBorder="1" applyAlignment="1">
      <alignment horizontal="left"/>
    </xf>
    <xf numFmtId="2" fontId="16" fillId="18" borderId="3" xfId="0" applyNumberFormat="1" applyFont="1" applyFill="1" applyBorder="1" applyAlignment="1">
      <alignment horizontal="right" indent="1"/>
    </xf>
    <xf numFmtId="165" fontId="16" fillId="18" borderId="3" xfId="0" applyNumberFormat="1" applyFont="1" applyFill="1" applyBorder="1"/>
    <xf numFmtId="2" fontId="17" fillId="0" borderId="1" xfId="0" applyNumberFormat="1" applyFont="1" applyBorder="1" applyAlignment="1">
      <alignment horizontal="right" indent="1"/>
    </xf>
    <xf numFmtId="2" fontId="36" fillId="0" borderId="1" xfId="0" applyNumberFormat="1" applyFont="1" applyBorder="1" applyAlignment="1">
      <alignment horizontal="left"/>
    </xf>
    <xf numFmtId="2" fontId="14" fillId="0" borderId="3" xfId="0" applyNumberFormat="1" applyFont="1" applyBorder="1" applyAlignment="1">
      <alignment horizontal="left"/>
    </xf>
    <xf numFmtId="0" fontId="37" fillId="0" borderId="0" xfId="0" applyFont="1" applyAlignment="1">
      <alignment horizontal="right"/>
    </xf>
    <xf numFmtId="2" fontId="17" fillId="0" borderId="3" xfId="0" applyNumberFormat="1" applyFont="1" applyBorder="1" applyAlignment="1">
      <alignment horizontal="right" indent="1"/>
    </xf>
    <xf numFmtId="0" fontId="17" fillId="0" borderId="3" xfId="0" applyFont="1" applyBorder="1"/>
    <xf numFmtId="173" fontId="4" fillId="0" borderId="3" xfId="0" applyNumberFormat="1" applyFont="1" applyBorder="1"/>
    <xf numFmtId="0" fontId="4" fillId="26" borderId="1" xfId="0" applyFont="1" applyFill="1" applyBorder="1"/>
    <xf numFmtId="2" fontId="4" fillId="0" borderId="1" xfId="0" applyNumberFormat="1" applyFont="1" applyBorder="1" applyAlignment="1">
      <alignment horizontal="right" indent="1"/>
    </xf>
    <xf numFmtId="0" fontId="4" fillId="26" borderId="1" xfId="0" applyFont="1" applyFill="1" applyBorder="1" applyAlignment="1">
      <alignment horizontal="left"/>
    </xf>
    <xf numFmtId="2" fontId="4" fillId="0" borderId="8" xfId="0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indent="1"/>
    </xf>
    <xf numFmtId="2" fontId="0" fillId="0" borderId="1" xfId="0" applyNumberFormat="1" applyBorder="1" applyAlignment="1">
      <alignment horizontal="center" wrapText="1"/>
    </xf>
    <xf numFmtId="165" fontId="16" fillId="18" borderId="3" xfId="0" applyNumberFormat="1" applyFont="1" applyFill="1" applyBorder="1" applyAlignment="1">
      <alignment horizontal="left"/>
    </xf>
    <xf numFmtId="0" fontId="4" fillId="26" borderId="1" xfId="0" applyFont="1" applyFill="1" applyBorder="1" applyAlignment="1">
      <alignment horizontal="left" vertical="center"/>
    </xf>
    <xf numFmtId="2" fontId="4" fillId="26" borderId="9" xfId="0" applyNumberFormat="1" applyFont="1" applyFill="1" applyBorder="1" applyAlignment="1">
      <alignment horizontal="right" vertical="center" indent="1"/>
    </xf>
    <xf numFmtId="10" fontId="11" fillId="26" borderId="1" xfId="0" applyNumberFormat="1" applyFont="1" applyFill="1" applyBorder="1"/>
    <xf numFmtId="178" fontId="11" fillId="26" borderId="3" xfId="0" applyNumberFormat="1" applyFont="1" applyFill="1" applyBorder="1"/>
    <xf numFmtId="2" fontId="11" fillId="26" borderId="3" xfId="0" applyNumberFormat="1" applyFont="1" applyFill="1" applyBorder="1" applyAlignment="1">
      <alignment horizontal="right" indent="1"/>
    </xf>
    <xf numFmtId="2" fontId="11" fillId="26" borderId="3" xfId="0" applyNumberFormat="1" applyFont="1" applyFill="1" applyBorder="1"/>
    <xf numFmtId="2" fontId="4" fillId="0" borderId="14" xfId="0" applyNumberFormat="1" applyFont="1" applyBorder="1" applyAlignment="1">
      <alignment horizontal="right" vertical="center" indent="1"/>
    </xf>
    <xf numFmtId="2" fontId="0" fillId="0" borderId="11" xfId="0" applyNumberFormat="1" applyBorder="1" applyAlignment="1">
      <alignment horizontal="center" wrapText="1"/>
    </xf>
    <xf numFmtId="2" fontId="17" fillId="0" borderId="11" xfId="0" applyNumberFormat="1" applyFont="1" applyBorder="1" applyAlignment="1">
      <alignment horizontal="right" indent="1"/>
    </xf>
    <xf numFmtId="165" fontId="16" fillId="18" borderId="3" xfId="0" applyNumberFormat="1" applyFont="1" applyFill="1" applyBorder="1" applyAlignment="1">
      <alignment horizontal="center"/>
    </xf>
    <xf numFmtId="2" fontId="36" fillId="0" borderId="3" xfId="0" applyNumberFormat="1" applyFont="1" applyBorder="1" applyAlignment="1">
      <alignment horizontal="left"/>
    </xf>
    <xf numFmtId="0" fontId="0" fillId="26" borderId="3" xfId="0" applyFill="1" applyBorder="1"/>
    <xf numFmtId="0" fontId="0" fillId="0" borderId="8" xfId="0" applyBorder="1" applyAlignment="1">
      <alignment horizontal="left"/>
    </xf>
    <xf numFmtId="1" fontId="4" fillId="26" borderId="3" xfId="0" applyNumberFormat="1" applyFont="1" applyFill="1" applyBorder="1" applyAlignment="1">
      <alignment horizontal="right" indent="1"/>
    </xf>
    <xf numFmtId="11" fontId="4" fillId="0" borderId="9" xfId="0" applyNumberFormat="1" applyFont="1" applyBorder="1" applyAlignment="1">
      <alignment horizontal="right" indent="1"/>
    </xf>
    <xf numFmtId="11" fontId="4" fillId="0" borderId="8" xfId="0" applyNumberFormat="1" applyFont="1" applyBorder="1" applyAlignment="1">
      <alignment horizontal="right" indent="1"/>
    </xf>
    <xf numFmtId="0" fontId="4" fillId="26" borderId="3" xfId="0" applyFont="1" applyFill="1" applyBorder="1" applyAlignment="1">
      <alignment horizontal="left" vertical="center"/>
    </xf>
    <xf numFmtId="1" fontId="4" fillId="26" borderId="9" xfId="0" applyNumberFormat="1" applyFont="1" applyFill="1" applyBorder="1" applyAlignment="1">
      <alignment horizontal="right" vertical="center" indent="1"/>
    </xf>
    <xf numFmtId="1" fontId="4" fillId="0" borderId="8" xfId="0" applyNumberFormat="1" applyFont="1" applyBorder="1" applyAlignment="1">
      <alignment horizontal="right" vertical="center" indent="1"/>
    </xf>
    <xf numFmtId="2" fontId="4" fillId="0" borderId="8" xfId="0" applyNumberFormat="1" applyFont="1" applyBorder="1" applyAlignment="1">
      <alignment horizontal="right" inden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0" fontId="17" fillId="0" borderId="13" xfId="0" applyFont="1" applyBorder="1"/>
    <xf numFmtId="0" fontId="4" fillId="16" borderId="11" xfId="0" applyFont="1" applyFill="1" applyBorder="1"/>
    <xf numFmtId="0" fontId="4" fillId="5" borderId="11" xfId="0" applyFont="1" applyFill="1" applyBorder="1"/>
    <xf numFmtId="0" fontId="2" fillId="21" borderId="11" xfId="0" applyFont="1" applyFill="1" applyBorder="1"/>
    <xf numFmtId="0" fontId="17" fillId="0" borderId="15" xfId="0" applyFont="1" applyBorder="1"/>
    <xf numFmtId="0" fontId="11" fillId="18" borderId="11" xfId="0" applyFont="1" applyFill="1" applyBorder="1"/>
    <xf numFmtId="0" fontId="4" fillId="19" borderId="11" xfId="0" applyFont="1" applyFill="1" applyBorder="1"/>
    <xf numFmtId="0" fontId="4" fillId="22" borderId="11" xfId="0" applyFont="1" applyFill="1" applyBorder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right" indent="1"/>
    </xf>
    <xf numFmtId="170" fontId="2" fillId="0" borderId="4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indent="1"/>
    </xf>
    <xf numFmtId="1" fontId="2" fillId="0" borderId="4" xfId="0" applyNumberFormat="1" applyFont="1" applyBorder="1" applyAlignment="1">
      <alignment horizontal="right" indent="1"/>
    </xf>
    <xf numFmtId="2" fontId="2" fillId="0" borderId="4" xfId="0" applyNumberFormat="1" applyFont="1" applyBorder="1" applyAlignment="1">
      <alignment horizontal="right" indent="1"/>
    </xf>
    <xf numFmtId="4" fontId="4" fillId="0" borderId="10" xfId="0" applyNumberFormat="1" applyFont="1" applyBorder="1" applyAlignment="1">
      <alignment horizontal="right" vertical="center" indent="1"/>
    </xf>
    <xf numFmtId="1" fontId="4" fillId="0" borderId="10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indent="1"/>
    </xf>
    <xf numFmtId="2" fontId="11" fillId="0" borderId="4" xfId="0" applyNumberFormat="1" applyFont="1" applyBorder="1" applyAlignment="1">
      <alignment horizontal="right" indent="1"/>
    </xf>
    <xf numFmtId="2" fontId="11" fillId="0" borderId="10" xfId="0" applyNumberFormat="1" applyFont="1" applyBorder="1" applyAlignment="1">
      <alignment horizontal="right" indent="1"/>
    </xf>
    <xf numFmtId="1" fontId="11" fillId="0" borderId="4" xfId="0" applyNumberFormat="1" applyFont="1" applyBorder="1" applyAlignment="1">
      <alignment horizontal="right" indent="1"/>
    </xf>
    <xf numFmtId="2" fontId="4" fillId="0" borderId="4" xfId="0" applyNumberFormat="1" applyFont="1" applyBorder="1" applyAlignment="1">
      <alignment horizontal="right" indent="1"/>
    </xf>
    <xf numFmtId="172" fontId="4" fillId="0" borderId="4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170" fontId="4" fillId="0" borderId="4" xfId="0" applyNumberFormat="1" applyFont="1" applyBorder="1" applyAlignment="1">
      <alignment horizontal="right" indent="1"/>
    </xf>
    <xf numFmtId="9" fontId="2" fillId="0" borderId="3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70" fontId="4" fillId="0" borderId="4" xfId="1" applyNumberFormat="1" applyFont="1" applyBorder="1" applyAlignment="1" applyProtection="1">
      <alignment horizontal="right" indent="1"/>
    </xf>
    <xf numFmtId="9" fontId="4" fillId="0" borderId="4" xfId="1" applyFont="1" applyBorder="1" applyAlignment="1" applyProtection="1">
      <alignment horizontal="right" indent="1"/>
    </xf>
    <xf numFmtId="0" fontId="2" fillId="0" borderId="4" xfId="0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vertical="center" indent="1"/>
    </xf>
    <xf numFmtId="2" fontId="4" fillId="0" borderId="4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indent="1"/>
    </xf>
    <xf numFmtId="170" fontId="4" fillId="0" borderId="7" xfId="1" applyNumberFormat="1" applyFont="1" applyBorder="1" applyAlignment="1" applyProtection="1">
      <alignment horizontal="right" indent="1"/>
    </xf>
    <xf numFmtId="173" fontId="4" fillId="0" borderId="4" xfId="0" applyNumberFormat="1" applyFont="1" applyBorder="1" applyAlignment="1">
      <alignment horizontal="right" indent="1"/>
    </xf>
    <xf numFmtId="166" fontId="2" fillId="0" borderId="4" xfId="0" applyNumberFormat="1" applyFont="1" applyBorder="1" applyAlignment="1">
      <alignment horizontal="right" indent="1"/>
    </xf>
    <xf numFmtId="2" fontId="2" fillId="0" borderId="4" xfId="0" applyNumberFormat="1" applyFont="1" applyBorder="1" applyAlignment="1">
      <alignment horizontal="right" vertical="center" indent="1"/>
    </xf>
    <xf numFmtId="2" fontId="2" fillId="0" borderId="10" xfId="0" applyNumberFormat="1" applyFont="1" applyBorder="1" applyAlignment="1">
      <alignment horizontal="right" indent="1"/>
    </xf>
    <xf numFmtId="1" fontId="4" fillId="0" borderId="4" xfId="0" applyNumberFormat="1" applyFont="1" applyBorder="1" applyAlignment="1">
      <alignment horizontal="right" indent="1"/>
    </xf>
    <xf numFmtId="1" fontId="4" fillId="0" borderId="10" xfId="0" applyNumberFormat="1" applyFont="1" applyBorder="1" applyAlignment="1">
      <alignment horizontal="right" indent="1"/>
    </xf>
    <xf numFmtId="0" fontId="2" fillId="46" borderId="4" xfId="0" applyFont="1" applyFill="1" applyBorder="1"/>
    <xf numFmtId="0" fontId="2" fillId="37" borderId="4" xfId="0" applyFont="1" applyFill="1" applyBorder="1"/>
    <xf numFmtId="0" fontId="2" fillId="17" borderId="4" xfId="0" applyFont="1" applyFill="1" applyBorder="1"/>
    <xf numFmtId="0" fontId="2" fillId="6" borderId="4" xfId="0" applyFont="1" applyFill="1" applyBorder="1"/>
    <xf numFmtId="0" fontId="2" fillId="29" borderId="1" xfId="0" applyFont="1" applyFill="1" applyBorder="1" applyAlignment="1">
      <alignment vertical="center"/>
    </xf>
    <xf numFmtId="0" fontId="2" fillId="29" borderId="4" xfId="0" applyFont="1" applyFill="1" applyBorder="1"/>
    <xf numFmtId="0" fontId="2" fillId="39" borderId="4" xfId="0" applyFont="1" applyFill="1" applyBorder="1"/>
    <xf numFmtId="0" fontId="4" fillId="10" borderId="10" xfId="0" applyFont="1" applyFill="1" applyBorder="1"/>
    <xf numFmtId="0" fontId="4" fillId="4" borderId="4" xfId="0" applyFont="1" applyFill="1" applyBorder="1"/>
    <xf numFmtId="2" fontId="11" fillId="31" borderId="7" xfId="0" applyNumberFormat="1" applyFont="1" applyFill="1" applyBorder="1"/>
    <xf numFmtId="0" fontId="4" fillId="35" borderId="4" xfId="0" applyFont="1" applyFill="1" applyBorder="1"/>
    <xf numFmtId="0" fontId="4" fillId="10" borderId="4" xfId="0" applyFont="1" applyFill="1" applyBorder="1"/>
    <xf numFmtId="0" fontId="4" fillId="10" borderId="1" xfId="0" applyFont="1" applyFill="1" applyBorder="1" applyAlignment="1">
      <alignment horizontal="left" vertical="center"/>
    </xf>
    <xf numFmtId="1" fontId="4" fillId="10" borderId="4" xfId="0" applyNumberFormat="1" applyFont="1" applyFill="1" applyBorder="1"/>
    <xf numFmtId="2" fontId="4" fillId="4" borderId="4" xfId="0" applyNumberFormat="1" applyFont="1" applyFill="1" applyBorder="1"/>
    <xf numFmtId="0" fontId="5" fillId="0" borderId="2" xfId="0" applyFont="1" applyBorder="1" applyAlignment="1">
      <alignment horizontal="left" vertical="center"/>
    </xf>
    <xf numFmtId="0" fontId="4" fillId="0" borderId="12" xfId="0" applyFont="1" applyBorder="1"/>
    <xf numFmtId="0" fontId="3" fillId="21" borderId="4" xfId="0" applyFont="1" applyFill="1" applyBorder="1"/>
    <xf numFmtId="0" fontId="4" fillId="31" borderId="1" xfId="0" applyFont="1" applyFill="1" applyBorder="1" applyAlignment="1">
      <alignment vertical="center"/>
    </xf>
    <xf numFmtId="0" fontId="4" fillId="21" borderId="4" xfId="0" applyFont="1" applyFill="1" applyBorder="1"/>
    <xf numFmtId="0" fontId="4" fillId="40" borderId="1" xfId="0" applyFont="1" applyFill="1" applyBorder="1" applyAlignment="1">
      <alignment vertical="center"/>
    </xf>
    <xf numFmtId="0" fontId="2" fillId="40" borderId="4" xfId="0" applyFont="1" applyFill="1" applyBorder="1"/>
    <xf numFmtId="0" fontId="4" fillId="11" borderId="4" xfId="0" applyFont="1" applyFill="1" applyBorder="1"/>
    <xf numFmtId="0" fontId="2" fillId="24" borderId="1" xfId="0" applyFont="1" applyFill="1" applyBorder="1" applyAlignment="1">
      <alignment vertical="center"/>
    </xf>
    <xf numFmtId="0" fontId="2" fillId="24" borderId="4" xfId="0" applyFont="1" applyFill="1" applyBorder="1"/>
    <xf numFmtId="0" fontId="2" fillId="12" borderId="1" xfId="0" applyFont="1" applyFill="1" applyBorder="1" applyAlignment="1">
      <alignment vertical="center"/>
    </xf>
    <xf numFmtId="0" fontId="2" fillId="12" borderId="4" xfId="0" applyFont="1" applyFill="1" applyBorder="1"/>
    <xf numFmtId="0" fontId="4" fillId="32" borderId="1" xfId="0" applyFont="1" applyFill="1" applyBorder="1" applyAlignment="1">
      <alignment vertical="center"/>
    </xf>
    <xf numFmtId="0" fontId="4" fillId="32" borderId="4" xfId="0" applyFont="1" applyFill="1" applyBorder="1"/>
    <xf numFmtId="0" fontId="4" fillId="44" borderId="4" xfId="0" applyFont="1" applyFill="1" applyBorder="1"/>
    <xf numFmtId="0" fontId="11" fillId="31" borderId="4" xfId="0" applyFont="1" applyFill="1" applyBorder="1"/>
    <xf numFmtId="0" fontId="11" fillId="8" borderId="4" xfId="0" applyFont="1" applyFill="1" applyBorder="1"/>
    <xf numFmtId="0" fontId="2" fillId="8" borderId="4" xfId="0" applyFont="1" applyFill="1" applyBorder="1"/>
    <xf numFmtId="0" fontId="2" fillId="10" borderId="4" xfId="0" applyFont="1" applyFill="1" applyBorder="1"/>
    <xf numFmtId="0" fontId="2" fillId="41" borderId="4" xfId="0" applyFont="1" applyFill="1" applyBorder="1"/>
    <xf numFmtId="0" fontId="2" fillId="36" borderId="4" xfId="0" applyFont="1" applyFill="1" applyBorder="1"/>
    <xf numFmtId="0" fontId="4" fillId="33" borderId="1" xfId="0" applyFont="1" applyFill="1" applyBorder="1" applyAlignment="1">
      <alignment vertical="center"/>
    </xf>
    <xf numFmtId="0" fontId="4" fillId="21" borderId="1" xfId="0" applyFont="1" applyFill="1" applyBorder="1" applyAlignment="1">
      <alignment horizontal="left" vertical="center"/>
    </xf>
    <xf numFmtId="0" fontId="11" fillId="42" borderId="7" xfId="0" applyFont="1" applyFill="1" applyBorder="1"/>
    <xf numFmtId="0" fontId="11" fillId="42" borderId="10" xfId="0" applyFont="1" applyFill="1" applyBorder="1" applyAlignment="1">
      <alignment horizontal="left"/>
    </xf>
    <xf numFmtId="0" fontId="11" fillId="26" borderId="4" xfId="0" applyFont="1" applyFill="1" applyBorder="1" applyAlignment="1">
      <alignment horizontal="left"/>
    </xf>
    <xf numFmtId="0" fontId="2" fillId="42" borderId="1" xfId="0" applyFont="1" applyFill="1" applyBorder="1" applyAlignment="1">
      <alignment vertical="center"/>
    </xf>
    <xf numFmtId="0" fontId="2" fillId="42" borderId="4" xfId="0" applyFont="1" applyFill="1" applyBorder="1"/>
    <xf numFmtId="0" fontId="2" fillId="34" borderId="5" xfId="0" applyFont="1" applyFill="1" applyBorder="1" applyAlignment="1">
      <alignment vertical="center"/>
    </xf>
    <xf numFmtId="0" fontId="2" fillId="42" borderId="10" xfId="0" applyFont="1" applyFill="1" applyBorder="1"/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1" fillId="26" borderId="1" xfId="0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4" fillId="38" borderId="4" xfId="0" applyFont="1" applyFill="1" applyBorder="1"/>
    <xf numFmtId="0" fontId="4" fillId="43" borderId="7" xfId="0" applyFont="1" applyFill="1" applyBorder="1"/>
    <xf numFmtId="0" fontId="4" fillId="43" borderId="10" xfId="0" applyFont="1" applyFill="1" applyBorder="1"/>
    <xf numFmtId="0" fontId="4" fillId="3" borderId="4" xfId="0" applyFont="1" applyFill="1" applyBorder="1"/>
    <xf numFmtId="3" fontId="4" fillId="0" borderId="5" xfId="0" applyNumberFormat="1" applyFont="1" applyBorder="1" applyAlignment="1">
      <alignment horizontal="right" indent="1"/>
    </xf>
    <xf numFmtId="0" fontId="4" fillId="0" borderId="7" xfId="0" applyFont="1" applyBorder="1"/>
    <xf numFmtId="3" fontId="4" fillId="0" borderId="8" xfId="0" applyNumberFormat="1" applyFont="1" applyBorder="1" applyAlignment="1">
      <alignment horizontal="right" indent="1"/>
    </xf>
    <xf numFmtId="0" fontId="4" fillId="0" borderId="10" xfId="0" applyFont="1" applyBorder="1"/>
    <xf numFmtId="2" fontId="11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indent="1"/>
    </xf>
    <xf numFmtId="4" fontId="11" fillId="0" borderId="1" xfId="0" applyNumberFormat="1" applyFont="1" applyBorder="1" applyAlignment="1">
      <alignment horizontal="right" indent="1"/>
    </xf>
    <xf numFmtId="2" fontId="11" fillId="0" borderId="8" xfId="0" applyNumberFormat="1" applyFont="1" applyBorder="1" applyAlignment="1">
      <alignment horizontal="right" vertical="center" indent="1"/>
    </xf>
    <xf numFmtId="0" fontId="14" fillId="0" borderId="1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70" fontId="4" fillId="0" borderId="3" xfId="1" applyNumberFormat="1" applyFont="1" applyBorder="1" applyAlignment="1" applyProtection="1">
      <alignment horizontal="right"/>
    </xf>
    <xf numFmtId="170" fontId="27" fillId="0" borderId="3" xfId="1" applyNumberFormat="1" applyFont="1" applyBorder="1" applyAlignment="1" applyProtection="1">
      <alignment horizontal="right"/>
    </xf>
    <xf numFmtId="2" fontId="4" fillId="0" borderId="3" xfId="0" applyNumberFormat="1" applyFont="1" applyBorder="1" applyAlignment="1">
      <alignment horizontal="center"/>
    </xf>
    <xf numFmtId="174" fontId="4" fillId="0" borderId="6" xfId="0" applyNumberFormat="1" applyFont="1" applyBorder="1" applyAlignment="1">
      <alignment horizontal="center"/>
    </xf>
    <xf numFmtId="10" fontId="4" fillId="0" borderId="3" xfId="1" applyNumberFormat="1" applyFont="1" applyBorder="1" applyAlignment="1" applyProtection="1">
      <alignment horizontal="center"/>
    </xf>
    <xf numFmtId="2" fontId="3" fillId="0" borderId="3" xfId="0" applyNumberFormat="1" applyFont="1" applyBorder="1" applyAlignment="1">
      <alignment horizontal="center"/>
    </xf>
    <xf numFmtId="10" fontId="4" fillId="0" borderId="3" xfId="1" applyNumberFormat="1" applyFont="1" applyBorder="1" applyAlignment="1" applyProtection="1">
      <alignment horizontal="right"/>
    </xf>
    <xf numFmtId="0" fontId="27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2" fontId="4" fillId="0" borderId="3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" fontId="2" fillId="34" borderId="6" xfId="0" applyNumberFormat="1" applyFont="1" applyFill="1" applyBorder="1" applyAlignment="1">
      <alignment horizontal="center"/>
    </xf>
    <xf numFmtId="0" fontId="27" fillId="0" borderId="11" xfId="0" applyFont="1" applyBorder="1" applyAlignment="1">
      <alignment horizontal="right"/>
    </xf>
    <xf numFmtId="0" fontId="11" fillId="26" borderId="8" xfId="0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0" fontId="2" fillId="8" borderId="3" xfId="0" applyFont="1" applyFill="1" applyBorder="1"/>
    <xf numFmtId="0" fontId="4" fillId="42" borderId="1" xfId="0" applyFont="1" applyFill="1" applyBorder="1" applyAlignment="1">
      <alignment vertical="center"/>
    </xf>
    <xf numFmtId="174" fontId="4" fillId="42" borderId="3" xfId="0" applyNumberFormat="1" applyFont="1" applyFill="1" applyBorder="1" applyAlignment="1">
      <alignment horizontal="right" indent="1"/>
    </xf>
    <xf numFmtId="3" fontId="4" fillId="42" borderId="3" xfId="0" applyNumberFormat="1" applyFont="1" applyFill="1" applyBorder="1" applyAlignment="1">
      <alignment horizontal="right" indent="1"/>
    </xf>
    <xf numFmtId="0" fontId="4" fillId="42" borderId="4" xfId="0" applyFont="1" applyFill="1" applyBorder="1"/>
    <xf numFmtId="2" fontId="2" fillId="0" borderId="11" xfId="0" applyNumberFormat="1" applyFont="1" applyBorder="1" applyAlignment="1">
      <alignment horizontal="right" indent="1"/>
    </xf>
    <xf numFmtId="0" fontId="11" fillId="0" borderId="3" xfId="0" applyFont="1" applyBorder="1"/>
    <xf numFmtId="1" fontId="2" fillId="0" borderId="13" xfId="0" applyNumberFormat="1" applyFont="1" applyBorder="1" applyAlignment="1">
      <alignment horizontal="right" indent="1"/>
    </xf>
    <xf numFmtId="2" fontId="2" fillId="0" borderId="11" xfId="0" applyNumberFormat="1" applyFont="1" applyBorder="1" applyAlignment="1">
      <alignment horizontal="right" vertical="center" indent="1"/>
    </xf>
    <xf numFmtId="4" fontId="11" fillId="0" borderId="11" xfId="0" applyNumberFormat="1" applyFont="1" applyBorder="1" applyAlignment="1">
      <alignment horizontal="right" indent="1"/>
    </xf>
    <xf numFmtId="166" fontId="2" fillId="42" borderId="6" xfId="0" applyNumberFormat="1" applyFont="1" applyFill="1" applyBorder="1" applyAlignment="1">
      <alignment horizontal="right" indent="1"/>
    </xf>
    <xf numFmtId="0" fontId="3" fillId="26" borderId="3" xfId="0" applyFont="1" applyFill="1" applyBorder="1" applyAlignment="1">
      <alignment horizontal="center"/>
    </xf>
    <xf numFmtId="177" fontId="11" fillId="26" borderId="3" xfId="0" applyNumberFormat="1" applyFont="1" applyFill="1" applyBorder="1"/>
    <xf numFmtId="4" fontId="4" fillId="26" borderId="3" xfId="0" applyNumberFormat="1" applyFont="1" applyFill="1" applyBorder="1" applyAlignment="1">
      <alignment horizontal="right" indent="1"/>
    </xf>
    <xf numFmtId="0" fontId="11" fillId="26" borderId="3" xfId="0" applyFont="1" applyFill="1" applyBorder="1"/>
    <xf numFmtId="0" fontId="4" fillId="47" borderId="1" xfId="0" applyFont="1" applyFill="1" applyBorder="1" applyAlignment="1">
      <alignment vertical="center"/>
    </xf>
    <xf numFmtId="0" fontId="4" fillId="47" borderId="3" xfId="0" applyFont="1" applyFill="1" applyBorder="1"/>
    <xf numFmtId="4" fontId="4" fillId="47" borderId="3" xfId="0" applyNumberFormat="1" applyFont="1" applyFill="1" applyBorder="1" applyAlignment="1">
      <alignment horizontal="right" indent="1"/>
    </xf>
    <xf numFmtId="4" fontId="4" fillId="41" borderId="3" xfId="0" applyNumberFormat="1" applyFont="1" applyFill="1" applyBorder="1" applyAlignment="1">
      <alignment horizontal="right" vertical="center" indent="1"/>
    </xf>
    <xf numFmtId="179" fontId="4" fillId="0" borderId="4" xfId="0" applyNumberFormat="1" applyFont="1" applyBorder="1" applyAlignment="1">
      <alignment horizontal="right" indent="1"/>
    </xf>
    <xf numFmtId="177" fontId="11" fillId="8" borderId="3" xfId="0" applyNumberFormat="1" applyFont="1" applyFill="1" applyBorder="1"/>
    <xf numFmtId="9" fontId="4" fillId="11" borderId="3" xfId="1" applyFont="1" applyFill="1" applyBorder="1" applyAlignment="1" applyProtection="1">
      <alignment horizontal="right" indent="1"/>
    </xf>
    <xf numFmtId="166" fontId="2" fillId="42" borderId="0" xfId="0" applyNumberFormat="1" applyFont="1" applyFill="1" applyAlignment="1">
      <alignment horizontal="right" indent="1"/>
    </xf>
    <xf numFmtId="0" fontId="8" fillId="0" borderId="0" xfId="2" applyAlignment="1">
      <alignment horizontal="right"/>
    </xf>
    <xf numFmtId="170" fontId="13" fillId="0" borderId="27" xfId="0" applyNumberFormat="1" applyFont="1" applyBorder="1"/>
    <xf numFmtId="10" fontId="2" fillId="21" borderId="3" xfId="0" applyNumberFormat="1" applyFont="1" applyFill="1" applyBorder="1" applyAlignment="1">
      <alignment horizontal="right" indent="1"/>
    </xf>
    <xf numFmtId="10" fontId="4" fillId="0" borderId="1" xfId="1" applyNumberFormat="1" applyFont="1" applyBorder="1" applyAlignment="1" applyProtection="1">
      <alignment horizontal="right" indent="1"/>
    </xf>
    <xf numFmtId="10" fontId="2" fillId="0" borderId="11" xfId="0" applyNumberFormat="1" applyFont="1" applyBorder="1" applyAlignment="1">
      <alignment horizontal="right" indent="1"/>
    </xf>
    <xf numFmtId="9" fontId="2" fillId="0" borderId="11" xfId="0" applyNumberFormat="1" applyFont="1" applyBorder="1" applyAlignment="1">
      <alignment horizontal="right" indent="1"/>
    </xf>
    <xf numFmtId="10" fontId="2" fillId="27" borderId="3" xfId="0" applyNumberFormat="1" applyFont="1" applyFill="1" applyBorder="1" applyAlignment="1">
      <alignment horizontal="right" indent="1"/>
    </xf>
    <xf numFmtId="0" fontId="8" fillId="0" borderId="11" xfId="2" applyBorder="1" applyAlignment="1">
      <alignment horizontal="right"/>
    </xf>
    <xf numFmtId="4" fontId="4" fillId="8" borderId="9" xfId="0" applyNumberFormat="1" applyFont="1" applyFill="1" applyBorder="1" applyAlignment="1">
      <alignment horizontal="right" vertical="center" indent="1"/>
    </xf>
    <xf numFmtId="10" fontId="4" fillId="0" borderId="3" xfId="0" applyNumberFormat="1" applyFont="1" applyBorder="1" applyAlignment="1">
      <alignment horizontal="right" indent="1"/>
    </xf>
    <xf numFmtId="0" fontId="3" fillId="0" borderId="8" xfId="0" applyFont="1" applyBorder="1" applyAlignment="1">
      <alignment vertical="center"/>
    </xf>
    <xf numFmtId="174" fontId="4" fillId="0" borderId="9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0" fontId="4" fillId="0" borderId="5" xfId="0" applyFont="1" applyBorder="1" applyAlignment="1">
      <alignment vertical="center"/>
    </xf>
    <xf numFmtId="10" fontId="4" fillId="0" borderId="6" xfId="0" applyNumberFormat="1" applyFont="1" applyBorder="1" applyAlignment="1">
      <alignment horizontal="right" indent="1"/>
    </xf>
    <xf numFmtId="0" fontId="4" fillId="0" borderId="6" xfId="0" applyFont="1" applyBorder="1"/>
    <xf numFmtId="4" fontId="4" fillId="0" borderId="3" xfId="0" applyNumberFormat="1" applyFont="1" applyBorder="1"/>
    <xf numFmtId="174" fontId="4" fillId="0" borderId="6" xfId="0" applyNumberFormat="1" applyFont="1" applyBorder="1" applyAlignment="1">
      <alignment horizontal="right"/>
    </xf>
    <xf numFmtId="170" fontId="4" fillId="0" borderId="3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0" fontId="13" fillId="0" borderId="2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3" fontId="0" fillId="0" borderId="5" xfId="0" applyNumberFormat="1" applyBorder="1"/>
    <xf numFmtId="1" fontId="0" fillId="0" borderId="2" xfId="0" applyNumberFormat="1" applyBorder="1"/>
    <xf numFmtId="3" fontId="0" fillId="0" borderId="2" xfId="0" applyNumberFormat="1" applyBorder="1"/>
    <xf numFmtId="3" fontId="13" fillId="0" borderId="8" xfId="0" applyNumberFormat="1" applyFont="1" applyBorder="1"/>
    <xf numFmtId="3" fontId="13" fillId="0" borderId="30" xfId="0" applyNumberFormat="1" applyFont="1" applyBorder="1"/>
    <xf numFmtId="10" fontId="2" fillId="0" borderId="3" xfId="0" applyNumberFormat="1" applyFont="1" applyBorder="1" applyAlignment="1">
      <alignment horizontal="right" indent="1"/>
    </xf>
    <xf numFmtId="10" fontId="2" fillId="8" borderId="3" xfId="0" applyNumberFormat="1" applyFont="1" applyFill="1" applyBorder="1" applyAlignment="1">
      <alignment horizontal="right" indent="1"/>
    </xf>
    <xf numFmtId="4" fontId="0" fillId="0" borderId="2" xfId="0" applyNumberFormat="1" applyBorder="1"/>
    <xf numFmtId="4" fontId="13" fillId="0" borderId="8" xfId="0" applyNumberFormat="1" applyFont="1" applyBorder="1"/>
    <xf numFmtId="4" fontId="13" fillId="0" borderId="30" xfId="0" applyNumberFormat="1" applyFont="1" applyBorder="1"/>
    <xf numFmtId="4" fontId="10" fillId="0" borderId="8" xfId="0" applyNumberFormat="1" applyFont="1" applyBorder="1"/>
    <xf numFmtId="4" fontId="10" fillId="0" borderId="1" xfId="0" applyNumberFormat="1" applyFont="1" applyBorder="1"/>
    <xf numFmtId="4" fontId="13" fillId="0" borderId="1" xfId="0" applyNumberFormat="1" applyFont="1" applyBorder="1"/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4" fontId="0" fillId="0" borderId="23" xfId="0" applyNumberFormat="1" applyBorder="1"/>
    <xf numFmtId="4" fontId="13" fillId="0" borderId="23" xfId="0" applyNumberFormat="1" applyFont="1" applyBorder="1"/>
    <xf numFmtId="4" fontId="10" fillId="0" borderId="23" xfId="0" applyNumberFormat="1" applyFont="1" applyBorder="1"/>
    <xf numFmtId="0" fontId="0" fillId="0" borderId="3" xfId="0" applyBorder="1" applyAlignment="1">
      <alignment horizontal="center" vertical="center" wrapText="1"/>
    </xf>
    <xf numFmtId="0" fontId="4" fillId="28" borderId="1" xfId="0" applyFont="1" applyFill="1" applyBorder="1" applyAlignment="1">
      <alignment vertical="center"/>
    </xf>
    <xf numFmtId="3" fontId="4" fillId="28" borderId="3" xfId="0" applyNumberFormat="1" applyFont="1" applyFill="1" applyBorder="1" applyAlignment="1">
      <alignment horizontal="right" indent="1"/>
    </xf>
    <xf numFmtId="0" fontId="0" fillId="0" borderId="11" xfId="0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left"/>
    </xf>
    <xf numFmtId="0" fontId="4" fillId="25" borderId="1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4" fillId="0" borderId="0" xfId="0" quotePrefix="1" applyFont="1" applyAlignment="1">
      <alignment vertical="center" wrapText="1"/>
    </xf>
    <xf numFmtId="0" fontId="0" fillId="0" borderId="0" xfId="0"/>
    <xf numFmtId="0" fontId="35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1" fontId="2" fillId="0" borderId="13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4" borderId="5" xfId="0" applyFont="1" applyFill="1" applyBorder="1" applyAlignment="1">
      <alignment vertical="center"/>
    </xf>
    <xf numFmtId="0" fontId="0" fillId="30" borderId="2" xfId="0" applyFill="1" applyBorder="1" applyAlignment="1">
      <alignment vertical="center"/>
    </xf>
    <xf numFmtId="0" fontId="0" fillId="30" borderId="8" xfId="0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7" fillId="18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18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9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</cellXfs>
  <cellStyles count="10">
    <cellStyle name="Excel Built-in Comma [0]" xfId="9" xr:uid="{00000000-0005-0000-0000-00000D000000}"/>
    <cellStyle name="Excel Built-in Currency [0]" xfId="8" xr:uid="{00000000-0005-0000-0000-00000B000000}"/>
    <cellStyle name="Hipervínculo" xfId="2" builtinId="8"/>
    <cellStyle name="Millares 2" xfId="3" xr:uid="{00000000-0005-0000-0000-000006000000}"/>
    <cellStyle name="Normal" xfId="0" builtinId="0"/>
    <cellStyle name="Normal 2" xfId="4" xr:uid="{00000000-0005-0000-0000-000007000000}"/>
    <cellStyle name="Normal 3" xfId="5" xr:uid="{00000000-0005-0000-0000-000008000000}"/>
    <cellStyle name="Porcentaje" xfId="1" builtinId="5"/>
    <cellStyle name="Porcentaje 2" xfId="6" xr:uid="{00000000-0005-0000-0000-000009000000}"/>
    <cellStyle name="Porcentual 2" xfId="7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DBEEF4"/>
      <rgbColor rgb="FF993366"/>
      <rgbColor rgb="FFFFFFCC"/>
      <rgbColor rgb="FFCCFFFF"/>
      <rgbColor rgb="FF660066"/>
      <rgbColor rgb="FFEEEEEE"/>
      <rgbColor rgb="FF0066CC"/>
      <rgbColor rgb="FFC6D9F1"/>
      <rgbColor rgb="FF000080"/>
      <rgbColor rgb="FFFF00FF"/>
      <rgbColor rgb="FFEBF1DE"/>
      <rgbColor rgb="FF00FFFF"/>
      <rgbColor rgb="FF800080"/>
      <rgbColor rgb="FF800000"/>
      <rgbColor rgb="FF008080"/>
      <rgbColor rgb="FF0000FF"/>
      <rgbColor rgb="FF00CCFF"/>
      <rgbColor rgb="FFD2F9FE"/>
      <rgbColor rgb="FFCCFF99"/>
      <rgbColor rgb="FFEBFED2"/>
      <rgbColor rgb="FF8EB4E3"/>
      <rgbColor rgb="FFFDEADA"/>
      <rgbColor rgb="FFDCE6F2"/>
      <rgbColor rgb="FFDDD9C3"/>
      <rgbColor rgb="FF3366FF"/>
      <rgbColor rgb="FF33CCCC"/>
      <rgbColor rgb="FFF9F9F9"/>
      <rgbColor rgb="FFEEECE1"/>
      <rgbColor rgb="FFFF9900"/>
      <rgbColor rgb="FFFF6600"/>
      <rgbColor rgb="FF4A80AE"/>
      <rgbColor rgb="FF9A9EA3"/>
      <rgbColor rgb="FF004494"/>
      <rgbColor rgb="FF2C924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F8FE"/>
      <color rgb="FFFFFFCC"/>
      <color rgb="FFF5FC98"/>
      <color rgb="FFD1F3FF"/>
      <color rgb="FFD6EBF2"/>
      <color rgb="FFABE9FF"/>
      <color rgb="FFD9D9D9"/>
      <color rgb="FFF9FC92"/>
      <color rgb="FFF4B2B2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59</xdr:row>
      <xdr:rowOff>0</xdr:rowOff>
    </xdr:from>
    <xdr:to>
      <xdr:col>22</xdr:col>
      <xdr:colOff>28575</xdr:colOff>
      <xdr:row>59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0F8EE59-9E88-46EA-B2E0-99C5A6AA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9725" y="16487775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54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EC497BDF-DB84-4965-B724-3DE196B23A96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347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37</xdr:row>
      <xdr:rowOff>0</xdr:rowOff>
    </xdr:from>
    <xdr:to>
      <xdr:col>7</xdr:col>
      <xdr:colOff>304800</xdr:colOff>
      <xdr:row>38</xdr:row>
      <xdr:rowOff>139700</xdr:rowOff>
    </xdr:to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E156061A-FF4D-4F83-9127-30F27624F59D}"/>
            </a:ext>
          </a:extLst>
        </xdr:cNvPr>
        <xdr:cNvSpPr>
          <a:spLocks noChangeAspect="1" noChangeArrowheads="1"/>
        </xdr:cNvSpPr>
      </xdr:nvSpPr>
      <xdr:spPr bwMode="auto">
        <a:xfrm>
          <a:off x="8543925" y="771525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29</xdr:row>
      <xdr:rowOff>101600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892420A2-2960-47E8-8F96-E67F70E3951B}"/>
            </a:ext>
          </a:extLst>
        </xdr:cNvPr>
        <xdr:cNvSpPr>
          <a:spLocks noChangeAspect="1" noChangeArrowheads="1"/>
        </xdr:cNvSpPr>
      </xdr:nvSpPr>
      <xdr:spPr bwMode="auto">
        <a:xfrm>
          <a:off x="7362825" y="54197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27</xdr:row>
      <xdr:rowOff>0</xdr:rowOff>
    </xdr:from>
    <xdr:ext cx="304800" cy="304800"/>
    <xdr:sp macro="" textlink="">
      <xdr:nvSpPr>
        <xdr:cNvPr id="3" name="AutoShape 5" descr="{\displaystyle Q=0.2787\ C\ D_{i}^{2.63}\ S^{0.54}}">
          <a:extLst>
            <a:ext uri="{FF2B5EF4-FFF2-40B4-BE49-F238E27FC236}">
              <a16:creationId xmlns:a16="http://schemas.microsoft.com/office/drawing/2014/main" id="{677FE414-4246-4D08-9A15-888F777A6896}"/>
            </a:ext>
          </a:extLst>
        </xdr:cNvPr>
        <xdr:cNvSpPr>
          <a:spLocks noChangeAspect="1" noChangeArrowheads="1"/>
        </xdr:cNvSpPr>
      </xdr:nvSpPr>
      <xdr:spPr bwMode="auto">
        <a:xfrm>
          <a:off x="13220700" y="541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26</xdr:row>
      <xdr:rowOff>0</xdr:rowOff>
    </xdr:from>
    <xdr:to>
      <xdr:col>7</xdr:col>
      <xdr:colOff>304800</xdr:colOff>
      <xdr:row>28</xdr:row>
      <xdr:rowOff>142875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3D0A7EA8-E0FB-4B91-A5FC-B5B28AF53284}"/>
            </a:ext>
          </a:extLst>
        </xdr:cNvPr>
        <xdr:cNvSpPr>
          <a:spLocks noChangeAspect="1" noChangeArrowheads="1"/>
        </xdr:cNvSpPr>
      </xdr:nvSpPr>
      <xdr:spPr bwMode="auto">
        <a:xfrm>
          <a:off x="9077325" y="5448300"/>
          <a:ext cx="30480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26</xdr:row>
      <xdr:rowOff>0</xdr:rowOff>
    </xdr:from>
    <xdr:ext cx="304800" cy="304800"/>
    <xdr:sp macro="" textlink="">
      <xdr:nvSpPr>
        <xdr:cNvPr id="3" name="AutoShape 5" descr="{\displaystyle Q=0.2787\ C\ D_{i}^{2.63}\ S^{0.54}}">
          <a:extLst>
            <a:ext uri="{FF2B5EF4-FFF2-40B4-BE49-F238E27FC236}">
              <a16:creationId xmlns:a16="http://schemas.microsoft.com/office/drawing/2014/main" id="{F46616E0-4B0B-4880-92D5-D308545202A5}"/>
            </a:ext>
          </a:extLst>
        </xdr:cNvPr>
        <xdr:cNvSpPr>
          <a:spLocks noChangeAspect="1" noChangeArrowheads="1"/>
        </xdr:cNvSpPr>
      </xdr:nvSpPr>
      <xdr:spPr bwMode="auto">
        <a:xfrm>
          <a:off x="1482090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126999</xdr:rowOff>
    </xdr:from>
    <xdr:to>
      <xdr:col>4</xdr:col>
      <xdr:colOff>1270000</xdr:colOff>
      <xdr:row>51</xdr:row>
      <xdr:rowOff>27677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E7CC10-9B1D-4870-ACB3-B53499EE5A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4" r="1579"/>
        <a:stretch/>
      </xdr:blipFill>
      <xdr:spPr bwMode="auto">
        <a:xfrm>
          <a:off x="0" y="3733799"/>
          <a:ext cx="7467600" cy="5768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17</xdr:row>
      <xdr:rowOff>38100</xdr:rowOff>
    </xdr:from>
    <xdr:to>
      <xdr:col>14</xdr:col>
      <xdr:colOff>628812</xdr:colOff>
      <xdr:row>48</xdr:row>
      <xdr:rowOff>25400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9FF0720-10E8-4EC1-9A71-DB9F4B66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3810000"/>
          <a:ext cx="8286912" cy="519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%20Propuesta%20Tecnologias%20Tratamiento%20y%20Piscicultura\Actualizacion%202023\Contenidos%2023\Parab%20Tilapias.xlsx" TargetMode="External"/><Relationship Id="rId1" Type="http://schemas.openxmlformats.org/officeDocument/2006/relationships/externalLinkPath" Target="Parab%20Tilap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rilla de Aireación"/>
      <sheetName val="Parab Tilapias "/>
      <sheetName val="Suministro de Alimento y O2"/>
      <sheetName val="Agua-T(°C)"/>
      <sheetName val="Tuberia Aireación Estanques"/>
      <sheetName val="Tubería hacia Filtro"/>
      <sheetName val="Tuberías Varias"/>
      <sheetName val="Alternativas Bombas Aireación"/>
    </sheetNames>
    <sheetDataSet>
      <sheetData sheetId="0"/>
      <sheetData sheetId="1">
        <row r="184">
          <cell r="E184">
            <v>7.7419200000000004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gineeringtoolbox.com/pvc-cpvc-pipes-dimensions-d_795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iproagro.com/triple15" TargetMode="External"/><Relationship Id="rId1" Type="http://schemas.openxmlformats.org/officeDocument/2006/relationships/hyperlink" Target="https://www.quiminet.com/archivos_empresa/3d4c7a4cfb3d9c3315bc99cae941739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BCC0-0F59-4D67-BA65-748B1712C571}">
  <dimension ref="A1:AML59"/>
  <sheetViews>
    <sheetView showGridLines="0" topLeftCell="B1" zoomScale="75" zoomScaleNormal="75" workbookViewId="0">
      <selection activeCell="A41" sqref="A41"/>
    </sheetView>
  </sheetViews>
  <sheetFormatPr baseColWidth="10" defaultColWidth="9.140625" defaultRowHeight="14.25" x14ac:dyDescent="0.2"/>
  <cols>
    <col min="1" max="1" width="23.42578125" customWidth="1"/>
    <col min="2" max="2" width="48.28515625" style="2" customWidth="1"/>
    <col min="3" max="3" width="64.140625" style="1" customWidth="1"/>
    <col min="4" max="4" width="12.85546875" style="31" customWidth="1"/>
    <col min="5" max="5" width="12.85546875" style="1" customWidth="1"/>
    <col min="6" max="6" width="12.140625" style="1" customWidth="1"/>
    <col min="7" max="7" width="12.5703125" style="31" customWidth="1"/>
    <col min="8" max="8" width="24.42578125" style="13" hidden="1" customWidth="1"/>
    <col min="9" max="9" width="13.85546875" style="1" customWidth="1"/>
    <col min="10" max="10" width="12.7109375" style="1" customWidth="1"/>
    <col min="11" max="11" width="38.5703125" style="1" customWidth="1"/>
    <col min="12" max="12" width="21.5703125" style="1" customWidth="1"/>
    <col min="13" max="13" width="18.28515625" style="1" customWidth="1"/>
    <col min="14" max="14" width="15.5703125" style="1" customWidth="1"/>
    <col min="15" max="1026" width="11.42578125" style="1" customWidth="1"/>
  </cols>
  <sheetData>
    <row r="1" spans="1:11" ht="35.25" customHeight="1" x14ac:dyDescent="0.2">
      <c r="A1" s="307" t="s">
        <v>520</v>
      </c>
      <c r="B1" s="760" t="s">
        <v>105</v>
      </c>
      <c r="D1" s="35"/>
      <c r="F1" s="35"/>
      <c r="G1" s="307" t="s">
        <v>197</v>
      </c>
      <c r="H1" s="307" t="s">
        <v>121</v>
      </c>
      <c r="I1" s="308" t="s">
        <v>198</v>
      </c>
    </row>
    <row r="2" spans="1:11" ht="19.5" customHeight="1" x14ac:dyDescent="0.2">
      <c r="A2" s="146"/>
      <c r="B2" s="774"/>
      <c r="C2" s="858" t="s">
        <v>488</v>
      </c>
      <c r="D2" s="859"/>
      <c r="E2" s="859"/>
      <c r="F2" s="859"/>
    </row>
    <row r="3" spans="1:11" ht="15.75" customHeight="1" x14ac:dyDescent="0.25">
      <c r="A3" s="146"/>
      <c r="B3" s="574"/>
      <c r="C3" s="853" t="s">
        <v>305</v>
      </c>
      <c r="D3" s="853"/>
      <c r="E3" s="853"/>
      <c r="F3" s="853"/>
      <c r="G3" s="534"/>
      <c r="H3" s="546"/>
      <c r="I3" s="51"/>
    </row>
    <row r="4" spans="1:11" ht="15" customHeight="1" x14ac:dyDescent="0.25">
      <c r="A4" s="146"/>
      <c r="B4" s="775"/>
      <c r="C4" s="570" t="s">
        <v>157</v>
      </c>
      <c r="D4" s="552"/>
      <c r="E4" s="553"/>
      <c r="F4" s="554"/>
      <c r="G4" s="238"/>
      <c r="H4" s="547"/>
      <c r="I4" s="548"/>
      <c r="J4" s="5"/>
      <c r="K4" s="5"/>
    </row>
    <row r="5" spans="1:11" ht="15" customHeight="1" x14ac:dyDescent="0.2">
      <c r="A5" s="146"/>
      <c r="B5" s="776" t="s">
        <v>284</v>
      </c>
      <c r="C5" s="29" t="s">
        <v>65</v>
      </c>
      <c r="D5" s="89" t="s">
        <v>44</v>
      </c>
      <c r="E5" s="198">
        <v>9</v>
      </c>
      <c r="F5" s="36" t="s">
        <v>4</v>
      </c>
      <c r="G5" s="53">
        <v>9</v>
      </c>
      <c r="H5" s="549"/>
      <c r="I5" s="571">
        <f>G5-E5</f>
        <v>0</v>
      </c>
      <c r="J5" s="5"/>
      <c r="K5" s="5"/>
    </row>
    <row r="6" spans="1:11" ht="15" customHeight="1" x14ac:dyDescent="0.2">
      <c r="A6" s="146"/>
      <c r="B6" s="776"/>
      <c r="C6" s="6" t="s">
        <v>66</v>
      </c>
      <c r="D6" s="19" t="s">
        <v>5</v>
      </c>
      <c r="E6" s="53">
        <f>E5^2/19.6</f>
        <v>4.1326530612244898</v>
      </c>
      <c r="F6" s="22" t="s">
        <v>6</v>
      </c>
      <c r="G6" s="53">
        <f>G5^2/19.6</f>
        <v>4.1326530612244898</v>
      </c>
      <c r="H6" s="550"/>
      <c r="I6" s="571">
        <f t="shared" ref="I6:I45" si="0">G6-E6</f>
        <v>0</v>
      </c>
      <c r="J6" s="5"/>
      <c r="K6" s="5"/>
    </row>
    <row r="7" spans="1:11" ht="15" customHeight="1" x14ac:dyDescent="0.2">
      <c r="A7" s="146"/>
      <c r="B7" s="776"/>
      <c r="C7" s="6" t="s">
        <v>107</v>
      </c>
      <c r="D7" s="19" t="s">
        <v>17</v>
      </c>
      <c r="E7" s="53">
        <f>1000*E15*E5/1000000</f>
        <v>0.72580500000000003</v>
      </c>
      <c r="F7" s="61" t="s">
        <v>15</v>
      </c>
      <c r="G7" s="53">
        <f>1000*G15*G5/1000000</f>
        <v>0.72580500000000003</v>
      </c>
      <c r="H7" s="550"/>
      <c r="I7" s="571">
        <f t="shared" si="0"/>
        <v>0</v>
      </c>
      <c r="J7" s="5"/>
      <c r="K7" s="5"/>
    </row>
    <row r="8" spans="1:11" ht="15" customHeight="1" x14ac:dyDescent="0.2">
      <c r="A8" s="146"/>
      <c r="B8" s="761" t="s">
        <v>472</v>
      </c>
      <c r="C8" s="11" t="s">
        <v>109</v>
      </c>
      <c r="D8" s="19" t="s">
        <v>130</v>
      </c>
      <c r="E8" s="14">
        <f>9.81*0.001*E6*E7</f>
        <v>2.9425097502551026E-2</v>
      </c>
      <c r="F8" s="51" t="s">
        <v>19</v>
      </c>
      <c r="G8" s="14">
        <f>9.81*0.001*G6*G7</f>
        <v>2.9425097502551026E-2</v>
      </c>
      <c r="H8" s="547"/>
      <c r="I8" s="571">
        <f t="shared" si="0"/>
        <v>0</v>
      </c>
      <c r="J8" s="5"/>
      <c r="K8" s="5"/>
    </row>
    <row r="9" spans="1:11" ht="15" customHeight="1" x14ac:dyDescent="0.2">
      <c r="A9" s="146"/>
      <c r="B9" s="776" t="s">
        <v>284</v>
      </c>
      <c r="C9" s="26" t="s">
        <v>108</v>
      </c>
      <c r="D9" s="25"/>
      <c r="E9" s="152">
        <v>16</v>
      </c>
      <c r="F9" s="27" t="s">
        <v>43</v>
      </c>
      <c r="G9" s="324">
        <v>16</v>
      </c>
      <c r="H9" s="547"/>
      <c r="I9" s="571">
        <f t="shared" si="0"/>
        <v>0</v>
      </c>
      <c r="J9" s="5"/>
      <c r="K9" s="5"/>
    </row>
    <row r="10" spans="1:11" ht="15" customHeight="1" x14ac:dyDescent="0.2">
      <c r="A10" s="146"/>
      <c r="B10" s="776"/>
      <c r="C10" s="143" t="s">
        <v>16</v>
      </c>
      <c r="D10" s="150"/>
      <c r="E10" s="151">
        <f>E9*E7</f>
        <v>11.612880000000001</v>
      </c>
      <c r="F10" s="144" t="s">
        <v>15</v>
      </c>
      <c r="G10" s="53">
        <f>G9*G7</f>
        <v>11.612880000000001</v>
      </c>
      <c r="H10" s="551"/>
      <c r="I10" s="571">
        <f t="shared" si="0"/>
        <v>0</v>
      </c>
      <c r="J10" s="5"/>
      <c r="K10" s="5"/>
    </row>
    <row r="11" spans="1:11" ht="15" customHeight="1" x14ac:dyDescent="0.25">
      <c r="A11" s="146"/>
      <c r="B11" s="776"/>
      <c r="C11" s="15" t="s">
        <v>129</v>
      </c>
      <c r="D11" s="38"/>
      <c r="E11" s="17"/>
      <c r="F11" s="556"/>
      <c r="G11" s="17"/>
      <c r="H11" s="33"/>
      <c r="I11" s="571"/>
      <c r="J11" s="5"/>
      <c r="K11" s="5"/>
    </row>
    <row r="12" spans="1:11" ht="15" customHeight="1" x14ac:dyDescent="0.2">
      <c r="A12" s="146"/>
      <c r="B12" s="452" t="s">
        <v>393</v>
      </c>
      <c r="C12" s="555" t="s">
        <v>151</v>
      </c>
      <c r="D12" s="89"/>
      <c r="E12" s="198">
        <f>'Parab Camarones'!E56</f>
        <v>5</v>
      </c>
      <c r="F12" s="36" t="s">
        <v>21</v>
      </c>
      <c r="G12" s="53">
        <f>'Parab Camarones'!E56</f>
        <v>5</v>
      </c>
      <c r="H12" s="551"/>
      <c r="I12" s="571">
        <f t="shared" si="0"/>
        <v>0</v>
      </c>
      <c r="J12" s="5"/>
      <c r="K12" s="5"/>
    </row>
    <row r="13" spans="1:11" ht="15" customHeight="1" x14ac:dyDescent="0.2">
      <c r="A13" s="146"/>
      <c r="B13" s="148"/>
      <c r="C13" s="557" t="s">
        <v>32</v>
      </c>
      <c r="D13" s="171"/>
      <c r="E13" s="172">
        <v>1000</v>
      </c>
      <c r="F13" s="173" t="s">
        <v>33</v>
      </c>
      <c r="G13" s="47">
        <v>1000</v>
      </c>
      <c r="H13" s="551"/>
      <c r="I13" s="571">
        <f t="shared" si="0"/>
        <v>0</v>
      </c>
      <c r="J13" s="5"/>
      <c r="K13" s="5"/>
    </row>
    <row r="14" spans="1:11" ht="15" customHeight="1" x14ac:dyDescent="0.2">
      <c r="A14" s="146"/>
      <c r="B14" s="148"/>
      <c r="C14" s="557" t="s">
        <v>34</v>
      </c>
      <c r="D14" s="171" t="s">
        <v>35</v>
      </c>
      <c r="E14" s="172">
        <v>28</v>
      </c>
      <c r="F14" s="173" t="s">
        <v>36</v>
      </c>
      <c r="G14" s="47">
        <v>28</v>
      </c>
      <c r="H14" s="551"/>
      <c r="I14" s="571">
        <f t="shared" si="0"/>
        <v>0</v>
      </c>
      <c r="J14"/>
      <c r="K14"/>
    </row>
    <row r="15" spans="1:11" ht="15" customHeight="1" x14ac:dyDescent="0.2">
      <c r="A15" s="146"/>
      <c r="B15" s="148"/>
      <c r="C15" s="50" t="s">
        <v>64</v>
      </c>
      <c r="D15" s="19"/>
      <c r="E15" s="53">
        <f>E51</f>
        <v>80.644999999999996</v>
      </c>
      <c r="F15" s="51" t="s">
        <v>11</v>
      </c>
      <c r="G15" s="53">
        <f>E51</f>
        <v>80.644999999999996</v>
      </c>
      <c r="H15" s="551"/>
      <c r="I15" s="571">
        <f t="shared" si="0"/>
        <v>0</v>
      </c>
      <c r="J15"/>
      <c r="K15"/>
    </row>
    <row r="16" spans="1:11" ht="15" customHeight="1" x14ac:dyDescent="0.2">
      <c r="A16" s="146"/>
      <c r="B16" s="148"/>
      <c r="C16" s="50" t="s">
        <v>240</v>
      </c>
      <c r="D16" s="19" t="s">
        <v>234</v>
      </c>
      <c r="E16" s="53">
        <f>2*E52</f>
        <v>6.35</v>
      </c>
      <c r="F16" s="51" t="s">
        <v>9</v>
      </c>
      <c r="G16" s="53">
        <f>2*E52</f>
        <v>6.35</v>
      </c>
      <c r="H16" s="551"/>
      <c r="I16" s="571">
        <f t="shared" si="0"/>
        <v>0</v>
      </c>
      <c r="J16"/>
      <c r="K16"/>
    </row>
    <row r="17" spans="1:11" ht="15" customHeight="1" x14ac:dyDescent="0.2">
      <c r="A17" s="146"/>
      <c r="B17" s="452" t="s">
        <v>470</v>
      </c>
      <c r="C17" s="138" t="s">
        <v>154</v>
      </c>
      <c r="D17" s="149" t="s">
        <v>190</v>
      </c>
      <c r="E17" s="153">
        <f>2.954-0.13*E16</f>
        <v>2.1285000000000003</v>
      </c>
      <c r="F17" s="88" t="s">
        <v>12</v>
      </c>
      <c r="G17" s="53">
        <f>2.954-0.13*G16</f>
        <v>2.1285000000000003</v>
      </c>
      <c r="H17" s="551"/>
      <c r="I17" s="571">
        <f t="shared" si="0"/>
        <v>0</v>
      </c>
      <c r="J17" s="5"/>
      <c r="K17" s="5"/>
    </row>
    <row r="18" spans="1:11" ht="15" customHeight="1" x14ac:dyDescent="0.2">
      <c r="A18" s="146"/>
      <c r="B18" s="452"/>
      <c r="C18" s="52" t="s">
        <v>269</v>
      </c>
      <c r="D18" s="19"/>
      <c r="E18" s="53">
        <f>E8*E9</f>
        <v>0.47080156004081641</v>
      </c>
      <c r="F18" s="61" t="s">
        <v>132</v>
      </c>
      <c r="G18" s="53">
        <f>G8*G9</f>
        <v>0.47080156004081641</v>
      </c>
      <c r="H18" s="551"/>
      <c r="I18" s="571">
        <f t="shared" si="0"/>
        <v>0</v>
      </c>
      <c r="J18"/>
      <c r="K18"/>
    </row>
    <row r="19" spans="1:11" ht="15" customHeight="1" x14ac:dyDescent="0.2">
      <c r="A19" s="146"/>
      <c r="B19" s="452" t="s">
        <v>471</v>
      </c>
      <c r="C19" s="247" t="s">
        <v>155</v>
      </c>
      <c r="D19" s="248" t="s">
        <v>191</v>
      </c>
      <c r="E19" s="249">
        <f>E17*E18</f>
        <v>1.0021011205468779</v>
      </c>
      <c r="F19" s="104" t="s">
        <v>49</v>
      </c>
      <c r="G19" s="53">
        <f>G17*G18</f>
        <v>1.0021011205468779</v>
      </c>
      <c r="H19" s="551"/>
      <c r="I19" s="571">
        <f t="shared" si="0"/>
        <v>0</v>
      </c>
      <c r="J19"/>
      <c r="K19"/>
    </row>
    <row r="20" spans="1:11" ht="15" customHeight="1" x14ac:dyDescent="0.2">
      <c r="A20" s="146"/>
      <c r="B20" s="148"/>
      <c r="C20" s="558" t="s">
        <v>37</v>
      </c>
      <c r="D20" s="175" t="s">
        <v>18</v>
      </c>
      <c r="E20" s="176">
        <v>101.33</v>
      </c>
      <c r="F20" s="174" t="s">
        <v>38</v>
      </c>
      <c r="G20" s="260">
        <v>101.33</v>
      </c>
      <c r="H20" s="551"/>
      <c r="I20" s="571">
        <f t="shared" si="0"/>
        <v>0</v>
      </c>
      <c r="J20" s="8"/>
      <c r="K20" s="13"/>
    </row>
    <row r="21" spans="1:11" ht="15" customHeight="1" x14ac:dyDescent="0.2">
      <c r="A21" s="146"/>
      <c r="B21" s="148"/>
      <c r="C21" s="559" t="s">
        <v>39</v>
      </c>
      <c r="D21" s="220"/>
      <c r="E21" s="221">
        <f>-9.81*28.97*E13/(8314*(273.15+E14))</f>
        <v>-0.11350751475450276</v>
      </c>
      <c r="F21" s="222"/>
      <c r="G21" s="221">
        <f>-9.81*28.97*G13/(8314*(273.15+G14))</f>
        <v>-0.11350751475450276</v>
      </c>
      <c r="H21" s="551"/>
      <c r="I21" s="571">
        <f t="shared" si="0"/>
        <v>0</v>
      </c>
      <c r="J21" s="8"/>
      <c r="K21" s="13"/>
    </row>
    <row r="22" spans="1:11" ht="15" customHeight="1" x14ac:dyDescent="0.2">
      <c r="A22" s="146"/>
      <c r="B22" s="148"/>
      <c r="C22" s="560" t="s">
        <v>40</v>
      </c>
      <c r="D22" s="223" t="s">
        <v>243</v>
      </c>
      <c r="E22" s="224">
        <f>E20*EXP(E21)</f>
        <v>90.457036457369227</v>
      </c>
      <c r="F22" s="225" t="s">
        <v>38</v>
      </c>
      <c r="G22" s="224">
        <f>G20*EXP(G21)</f>
        <v>90.457036457369227</v>
      </c>
      <c r="H22" s="551"/>
      <c r="I22" s="571">
        <f t="shared" si="0"/>
        <v>0</v>
      </c>
      <c r="J22" s="8"/>
      <c r="K22" s="13"/>
    </row>
    <row r="23" spans="1:11" ht="15" customHeight="1" x14ac:dyDescent="0.2">
      <c r="A23" s="146"/>
      <c r="B23" s="452" t="s">
        <v>393</v>
      </c>
      <c r="C23" s="226" t="s">
        <v>223</v>
      </c>
      <c r="D23" s="227" t="s">
        <v>391</v>
      </c>
      <c r="E23" s="390">
        <f>'Parab Camarones'!E93</f>
        <v>15</v>
      </c>
      <c r="F23" s="228" t="s">
        <v>224</v>
      </c>
      <c r="G23" s="572">
        <f>'Parab Camarones'!E93</f>
        <v>15</v>
      </c>
      <c r="H23" s="551"/>
      <c r="I23" s="571">
        <f t="shared" si="0"/>
        <v>0</v>
      </c>
      <c r="K23" s="13"/>
    </row>
    <row r="24" spans="1:11" ht="15" customHeight="1" x14ac:dyDescent="0.35">
      <c r="A24" s="146"/>
      <c r="B24" s="452" t="s">
        <v>283</v>
      </c>
      <c r="C24" s="561" t="s">
        <v>245</v>
      </c>
      <c r="D24" s="229" t="s">
        <v>248</v>
      </c>
      <c r="E24" s="230">
        <f>VLOOKUP(ROUND(E14,0),'Agua-T(°C)'!B6:J46,9)</f>
        <v>7.18</v>
      </c>
      <c r="F24" s="231" t="s">
        <v>21</v>
      </c>
      <c r="G24" s="221">
        <f>VLOOKUP(ROUND(G14,0),'Agua-T(°C)'!B6:J46,9)</f>
        <v>7.18</v>
      </c>
      <c r="H24" s="551"/>
      <c r="I24" s="571">
        <f t="shared" si="0"/>
        <v>0</v>
      </c>
      <c r="J24" s="8"/>
      <c r="K24" s="13"/>
    </row>
    <row r="25" spans="1:11" ht="15" customHeight="1" x14ac:dyDescent="0.35">
      <c r="A25" s="146"/>
      <c r="B25" s="452"/>
      <c r="C25" s="561" t="s">
        <v>246</v>
      </c>
      <c r="D25" s="229" t="s">
        <v>249</v>
      </c>
      <c r="E25" s="232">
        <f>E24*EXP(E21)</f>
        <v>6.4095679637216127</v>
      </c>
      <c r="F25" s="231" t="s">
        <v>21</v>
      </c>
      <c r="G25" s="224">
        <f>G24*EXP(G21)</f>
        <v>6.4095679637216127</v>
      </c>
      <c r="H25" s="551"/>
      <c r="I25" s="571">
        <f t="shared" si="0"/>
        <v>0</v>
      </c>
      <c r="J25" s="8"/>
      <c r="K25" s="13"/>
    </row>
    <row r="26" spans="1:11" ht="15" customHeight="1" x14ac:dyDescent="0.2">
      <c r="A26" s="146"/>
      <c r="B26" s="452" t="s">
        <v>373</v>
      </c>
      <c r="C26" s="253" t="s">
        <v>288</v>
      </c>
      <c r="D26" s="254"/>
      <c r="E26" s="255">
        <v>0.7</v>
      </c>
      <c r="F26" s="256" t="s">
        <v>2</v>
      </c>
      <c r="G26" s="224">
        <v>0.7</v>
      </c>
      <c r="H26" s="551"/>
      <c r="I26" s="571">
        <f t="shared" si="0"/>
        <v>0</v>
      </c>
      <c r="J26" s="8"/>
      <c r="K26" s="13"/>
    </row>
    <row r="27" spans="1:11" ht="15" customHeight="1" x14ac:dyDescent="0.2">
      <c r="A27" s="146"/>
      <c r="B27" s="452"/>
      <c r="C27" s="558" t="s">
        <v>287</v>
      </c>
      <c r="D27" s="175"/>
      <c r="E27" s="176">
        <v>0.3</v>
      </c>
      <c r="F27" s="174" t="s">
        <v>2</v>
      </c>
      <c r="G27" s="260">
        <v>0.3</v>
      </c>
      <c r="H27" s="551"/>
      <c r="I27" s="571">
        <f t="shared" si="0"/>
        <v>0</v>
      </c>
      <c r="J27" s="8"/>
      <c r="K27" s="13"/>
    </row>
    <row r="28" spans="1:11" ht="15" customHeight="1" x14ac:dyDescent="0.2">
      <c r="A28" s="146"/>
      <c r="B28" s="452"/>
      <c r="C28" s="217" t="s">
        <v>286</v>
      </c>
      <c r="D28" s="285"/>
      <c r="E28" s="286">
        <f>E26+0.3</f>
        <v>1</v>
      </c>
      <c r="F28" s="287" t="s">
        <v>2</v>
      </c>
      <c r="G28" s="224">
        <f>G26+0.3</f>
        <v>1</v>
      </c>
      <c r="H28" s="551"/>
      <c r="I28" s="571">
        <f t="shared" si="0"/>
        <v>0</v>
      </c>
      <c r="J28" s="8"/>
      <c r="K28" s="13"/>
    </row>
    <row r="29" spans="1:11" ht="15" customHeight="1" x14ac:dyDescent="0.2">
      <c r="A29" s="146"/>
      <c r="B29" s="452"/>
      <c r="C29" s="562"/>
      <c r="D29" s="233"/>
      <c r="E29" s="234">
        <f>E28*9.8</f>
        <v>9.8000000000000007</v>
      </c>
      <c r="F29" s="235" t="s">
        <v>38</v>
      </c>
      <c r="G29" s="260">
        <f>G28*9.8</f>
        <v>9.8000000000000007</v>
      </c>
      <c r="H29" s="551"/>
      <c r="I29" s="571">
        <f t="shared" si="0"/>
        <v>0</v>
      </c>
      <c r="J29" s="8"/>
      <c r="K29" s="13"/>
    </row>
    <row r="30" spans="1:11" ht="15" customHeight="1" x14ac:dyDescent="0.2">
      <c r="A30" s="146"/>
      <c r="B30" s="452"/>
      <c r="C30" s="563" t="s">
        <v>244</v>
      </c>
      <c r="D30" s="220" t="s">
        <v>20</v>
      </c>
      <c r="E30" s="221">
        <f>E25*(E22+E29/2)/E22</f>
        <v>6.7567701743206463</v>
      </c>
      <c r="F30" s="119" t="s">
        <v>21</v>
      </c>
      <c r="G30" s="221">
        <f>G25*(G22+G29/2)/G22</f>
        <v>6.7567701743206463</v>
      </c>
      <c r="H30" s="551"/>
      <c r="I30" s="571">
        <f t="shared" si="0"/>
        <v>0</v>
      </c>
      <c r="J30" s="8"/>
      <c r="K30" s="13"/>
    </row>
    <row r="31" spans="1:11" ht="15" customHeight="1" x14ac:dyDescent="0.2">
      <c r="A31" s="146"/>
      <c r="B31" s="452" t="s">
        <v>230</v>
      </c>
      <c r="C31" s="197" t="s">
        <v>306</v>
      </c>
      <c r="D31" s="120" t="s">
        <v>22</v>
      </c>
      <c r="E31" s="154">
        <v>0.95</v>
      </c>
      <c r="F31" s="122"/>
      <c r="G31" s="53">
        <v>0.95</v>
      </c>
      <c r="H31" s="551"/>
      <c r="I31" s="571">
        <f t="shared" si="0"/>
        <v>0</v>
      </c>
      <c r="K31" s="13"/>
    </row>
    <row r="32" spans="1:11" ht="15" customHeight="1" x14ac:dyDescent="0.2">
      <c r="A32" s="146"/>
      <c r="B32" s="189" t="s">
        <v>231</v>
      </c>
      <c r="C32" s="197" t="s">
        <v>153</v>
      </c>
      <c r="D32" s="120" t="s">
        <v>68</v>
      </c>
      <c r="E32" s="154">
        <v>0.95</v>
      </c>
      <c r="F32" s="122"/>
      <c r="G32" s="53">
        <v>0.95</v>
      </c>
      <c r="H32" s="551"/>
      <c r="I32" s="571">
        <f t="shared" si="0"/>
        <v>0</v>
      </c>
      <c r="K32" s="13"/>
    </row>
    <row r="33" spans="1:11" ht="15" customHeight="1" x14ac:dyDescent="0.2">
      <c r="A33" s="146"/>
      <c r="B33" s="452" t="s">
        <v>283</v>
      </c>
      <c r="C33" s="564" t="s">
        <v>229</v>
      </c>
      <c r="D33" s="177" t="s">
        <v>20</v>
      </c>
      <c r="E33" s="190">
        <v>9.08</v>
      </c>
      <c r="F33" s="191" t="s">
        <v>21</v>
      </c>
      <c r="G33" s="53">
        <v>9.08</v>
      </c>
      <c r="H33" s="551"/>
      <c r="I33" s="571">
        <f t="shared" si="0"/>
        <v>0</v>
      </c>
      <c r="K33" s="13"/>
    </row>
    <row r="34" spans="1:11" ht="15" customHeight="1" x14ac:dyDescent="0.2">
      <c r="A34" s="146"/>
      <c r="B34" s="777" t="s">
        <v>156</v>
      </c>
      <c r="C34" s="565" t="s">
        <v>239</v>
      </c>
      <c r="D34" s="250" t="s">
        <v>238</v>
      </c>
      <c r="E34" s="251">
        <f>(E31*(E32*E30-E12)*(1.024^(E14-20))/E33)</f>
        <v>0.17947290423758788</v>
      </c>
      <c r="F34" s="252"/>
      <c r="G34" s="573">
        <f>(G31*(G32*G30-G12)*(1.024^(G14-20))/G33)</f>
        <v>0.17947290423758788</v>
      </c>
      <c r="H34" s="551"/>
      <c r="I34" s="571">
        <f t="shared" si="0"/>
        <v>0</v>
      </c>
    </row>
    <row r="35" spans="1:11" ht="15" customHeight="1" x14ac:dyDescent="0.2">
      <c r="A35" s="146"/>
      <c r="B35" s="777" t="s">
        <v>419</v>
      </c>
      <c r="C35" s="566" t="s">
        <v>193</v>
      </c>
      <c r="D35" s="87" t="s">
        <v>192</v>
      </c>
      <c r="E35" s="155">
        <f>E19*E34</f>
        <v>0.17984999844428934</v>
      </c>
      <c r="F35" s="123" t="s">
        <v>49</v>
      </c>
      <c r="G35" s="260">
        <f>G19*G34</f>
        <v>0.17984999844428934</v>
      </c>
      <c r="H35" s="551"/>
      <c r="I35" s="571">
        <f t="shared" si="0"/>
        <v>0</v>
      </c>
      <c r="J35" s="13"/>
      <c r="K35" s="13"/>
    </row>
    <row r="36" spans="1:11" ht="15" customHeight="1" x14ac:dyDescent="0.25">
      <c r="A36" s="146"/>
      <c r="B36" s="148"/>
      <c r="C36" s="854" t="s">
        <v>270</v>
      </c>
      <c r="D36" s="855"/>
      <c r="E36" s="855"/>
      <c r="F36" s="856"/>
      <c r="G36" s="86"/>
      <c r="I36" s="571"/>
      <c r="J36" s="40"/>
      <c r="K36" s="5"/>
    </row>
    <row r="37" spans="1:11" ht="15" customHeight="1" x14ac:dyDescent="0.2">
      <c r="A37" s="146"/>
      <c r="B37" s="148"/>
      <c r="C37" s="857" t="s">
        <v>140</v>
      </c>
      <c r="D37" s="178" t="s">
        <v>24</v>
      </c>
      <c r="E37" s="179" t="s">
        <v>45</v>
      </c>
      <c r="F37" s="179" t="s">
        <v>15</v>
      </c>
      <c r="G37" s="574" t="s">
        <v>15</v>
      </c>
      <c r="H37" s="551"/>
      <c r="I37" s="571"/>
      <c r="J37" s="40"/>
      <c r="K37" s="5"/>
    </row>
    <row r="38" spans="1:11" ht="15" customHeight="1" x14ac:dyDescent="0.2">
      <c r="A38" s="146"/>
      <c r="B38" s="148"/>
      <c r="C38" s="857"/>
      <c r="D38" s="180">
        <f>F38*3.6</f>
        <v>83.612736000000012</v>
      </c>
      <c r="E38" s="181">
        <f>15.84*F38</f>
        <v>367.89603840000001</v>
      </c>
      <c r="F38" s="181">
        <f>2*E10</f>
        <v>23.225760000000001</v>
      </c>
      <c r="G38" s="53">
        <f>2*G10</f>
        <v>23.225760000000001</v>
      </c>
      <c r="H38" s="551"/>
      <c r="I38" s="571">
        <f>G38-F38</f>
        <v>0</v>
      </c>
      <c r="J38" s="40"/>
      <c r="K38" s="5"/>
    </row>
    <row r="39" spans="1:11" ht="15" customHeight="1" x14ac:dyDescent="0.2">
      <c r="A39" s="146"/>
      <c r="B39" s="148"/>
      <c r="C39" s="473" t="s">
        <v>219</v>
      </c>
      <c r="D39" s="19"/>
      <c r="E39" s="53">
        <f>E6</f>
        <v>4.1326530612244898</v>
      </c>
      <c r="F39" s="22" t="s">
        <v>2</v>
      </c>
      <c r="G39" s="53">
        <f>G6</f>
        <v>4.1326530612244898</v>
      </c>
      <c r="H39" s="551"/>
      <c r="I39" s="571">
        <f t="shared" si="0"/>
        <v>0</v>
      </c>
      <c r="J39" s="5"/>
      <c r="K39" s="5"/>
    </row>
    <row r="40" spans="1:11" ht="15" customHeight="1" x14ac:dyDescent="0.2">
      <c r="A40" s="146"/>
      <c r="B40" s="452" t="s">
        <v>282</v>
      </c>
      <c r="C40" s="473" t="s">
        <v>247</v>
      </c>
      <c r="D40" s="19"/>
      <c r="E40" s="53">
        <f>'Tuberia de Aireación'!E3</f>
        <v>0.97838279013284224</v>
      </c>
      <c r="F40" s="22" t="s">
        <v>2</v>
      </c>
      <c r="G40" s="53">
        <f>'Tuberia de Aireación'!E3</f>
        <v>0.97838279013284224</v>
      </c>
      <c r="H40" s="551"/>
      <c r="I40" s="571">
        <f t="shared" si="0"/>
        <v>0</v>
      </c>
      <c r="J40" s="5"/>
      <c r="K40" s="5"/>
    </row>
    <row r="41" spans="1:11" ht="15" customHeight="1" x14ac:dyDescent="0.2">
      <c r="A41" s="146"/>
      <c r="B41" s="452" t="s">
        <v>373</v>
      </c>
      <c r="C41" s="473" t="s">
        <v>50</v>
      </c>
      <c r="D41" s="19"/>
      <c r="E41" s="167">
        <v>0</v>
      </c>
      <c r="F41" s="22" t="s">
        <v>2</v>
      </c>
      <c r="G41" s="167">
        <v>0</v>
      </c>
      <c r="H41" s="551"/>
      <c r="I41" s="571">
        <f t="shared" si="0"/>
        <v>0</v>
      </c>
      <c r="J41" s="5"/>
      <c r="K41" s="5"/>
    </row>
    <row r="42" spans="1:11" ht="15" customHeight="1" x14ac:dyDescent="0.2">
      <c r="A42" s="146"/>
      <c r="B42" s="148"/>
      <c r="C42" s="484" t="s">
        <v>51</v>
      </c>
      <c r="D42" s="485"/>
      <c r="E42" s="486">
        <f>SUM(E39:E41)</f>
        <v>5.1110358513573324</v>
      </c>
      <c r="F42" s="487" t="s">
        <v>2</v>
      </c>
      <c r="G42" s="53">
        <f>SUM(G39:G41)</f>
        <v>5.1110358513573324</v>
      </c>
      <c r="H42" s="551"/>
      <c r="I42" s="571">
        <f t="shared" si="0"/>
        <v>0</v>
      </c>
      <c r="J42"/>
      <c r="K42" s="13"/>
    </row>
    <row r="43" spans="1:11" ht="15" customHeight="1" x14ac:dyDescent="0.2">
      <c r="A43" s="146"/>
      <c r="B43" s="452" t="s">
        <v>53</v>
      </c>
      <c r="C43" s="567" t="s">
        <v>52</v>
      </c>
      <c r="D43" s="120"/>
      <c r="E43" s="168">
        <v>0.78</v>
      </c>
      <c r="F43" s="121"/>
      <c r="G43" s="575">
        <v>0.78</v>
      </c>
      <c r="H43" s="551"/>
      <c r="I43" s="571">
        <f t="shared" si="0"/>
        <v>0</v>
      </c>
      <c r="J43"/>
      <c r="K43" s="13"/>
    </row>
    <row r="44" spans="1:11" ht="15" customHeight="1" x14ac:dyDescent="0.2">
      <c r="A44" s="146"/>
      <c r="B44" s="148"/>
      <c r="C44" s="568" t="s">
        <v>69</v>
      </c>
      <c r="D44" s="192"/>
      <c r="E44" s="219">
        <f>9.81*0.001*F38*E42/E43</f>
        <v>1.4929775113635346</v>
      </c>
      <c r="F44" s="193" t="s">
        <v>19</v>
      </c>
      <c r="G44" s="576">
        <f>9.81*0.001*G38*G42/G43</f>
        <v>1.4929775113635346</v>
      </c>
      <c r="H44" s="551"/>
      <c r="I44" s="571">
        <f t="shared" si="0"/>
        <v>0</v>
      </c>
      <c r="J44"/>
    </row>
    <row r="45" spans="1:11" ht="15" customHeight="1" x14ac:dyDescent="0.2">
      <c r="A45" s="146"/>
      <c r="B45" s="148"/>
      <c r="C45" s="569"/>
      <c r="D45" s="194"/>
      <c r="E45" s="218">
        <f>E44/0.746</f>
        <v>2.0013103369484377</v>
      </c>
      <c r="F45" s="195" t="s">
        <v>55</v>
      </c>
      <c r="G45" s="577">
        <f>G44/0.746</f>
        <v>2.0013103369484377</v>
      </c>
      <c r="H45" s="551"/>
      <c r="I45" s="571">
        <f t="shared" si="0"/>
        <v>0</v>
      </c>
      <c r="J45"/>
      <c r="K45" s="20"/>
    </row>
    <row r="46" spans="1:11" ht="14.25" customHeight="1" x14ac:dyDescent="0.25">
      <c r="A46" s="146"/>
      <c r="B46" s="450"/>
      <c r="C46" s="780" t="s">
        <v>128</v>
      </c>
      <c r="D46" s="37"/>
      <c r="E46" s="3"/>
      <c r="F46" s="17"/>
      <c r="G46" s="37"/>
      <c r="I46"/>
      <c r="J46"/>
      <c r="K46" s="20"/>
    </row>
    <row r="47" spans="1:11" ht="15" customHeight="1" x14ac:dyDescent="0.2">
      <c r="A47" s="146"/>
      <c r="B47" s="242" t="s">
        <v>41</v>
      </c>
      <c r="C47" s="187" t="s">
        <v>273</v>
      </c>
      <c r="D47" s="188"/>
      <c r="E47" s="244">
        <f>25.4/2</f>
        <v>12.7</v>
      </c>
      <c r="F47" s="186" t="s">
        <v>9</v>
      </c>
      <c r="G47" s="189"/>
      <c r="I47"/>
      <c r="J47"/>
      <c r="K47" s="20"/>
    </row>
    <row r="48" spans="1:11" ht="15" customHeight="1" x14ac:dyDescent="0.2">
      <c r="A48" s="146"/>
      <c r="B48" s="242"/>
      <c r="C48" s="182" t="s">
        <v>265</v>
      </c>
      <c r="D48" s="165"/>
      <c r="E48" s="243">
        <f>E47^2</f>
        <v>161.29</v>
      </c>
      <c r="F48" s="184" t="s">
        <v>11</v>
      </c>
      <c r="G48" s="189"/>
      <c r="I48"/>
      <c r="J48"/>
      <c r="K48" s="20"/>
    </row>
    <row r="49" spans="1:11" ht="15" customHeight="1" x14ac:dyDescent="0.2">
      <c r="A49" s="146"/>
      <c r="B49" s="779"/>
      <c r="C49" s="288" t="s">
        <v>267</v>
      </c>
      <c r="D49" s="289" t="s">
        <v>266</v>
      </c>
      <c r="E49" s="244">
        <f>25.4/4</f>
        <v>6.35</v>
      </c>
      <c r="F49" s="290" t="s">
        <v>9</v>
      </c>
      <c r="G49" s="189"/>
      <c r="I49"/>
      <c r="J49"/>
      <c r="K49" s="20"/>
    </row>
    <row r="50" spans="1:11" ht="15" customHeight="1" x14ac:dyDescent="0.2">
      <c r="A50" s="146"/>
      <c r="B50" s="778"/>
      <c r="C50" s="182" t="s">
        <v>189</v>
      </c>
      <c r="D50" s="196">
        <f>E50/E48</f>
        <v>0.5</v>
      </c>
      <c r="E50" s="237">
        <f>E49*E47</f>
        <v>80.644999999999996</v>
      </c>
      <c r="F50" s="184" t="s">
        <v>11</v>
      </c>
      <c r="G50" s="189"/>
      <c r="I50"/>
      <c r="J50"/>
      <c r="K50" s="20"/>
    </row>
    <row r="51" spans="1:11" ht="15" customHeight="1" x14ac:dyDescent="0.2">
      <c r="A51" s="146"/>
      <c r="B51" s="778"/>
      <c r="C51" s="293" t="s">
        <v>268</v>
      </c>
      <c r="D51" s="294">
        <f>E51/E48</f>
        <v>0.5</v>
      </c>
      <c r="E51" s="295">
        <f>E48-E50</f>
        <v>80.644999999999996</v>
      </c>
      <c r="F51" s="296" t="s">
        <v>11</v>
      </c>
      <c r="G51" s="100"/>
      <c r="H51" s="33"/>
      <c r="I51"/>
      <c r="J51"/>
      <c r="K51" s="20"/>
    </row>
    <row r="52" spans="1:11" ht="15" customHeight="1" x14ac:dyDescent="0.25">
      <c r="A52" s="146"/>
      <c r="B52" s="778"/>
      <c r="C52" s="288" t="s">
        <v>225</v>
      </c>
      <c r="D52" s="289" t="s">
        <v>274</v>
      </c>
      <c r="E52" s="244">
        <f>25.4/8</f>
        <v>3.1749999999999998</v>
      </c>
      <c r="F52" s="290" t="s">
        <v>9</v>
      </c>
      <c r="H52" s="33"/>
      <c r="I52" s="5"/>
      <c r="J52" s="15"/>
      <c r="K52" s="20"/>
    </row>
    <row r="53" spans="1:11" ht="15" customHeight="1" x14ac:dyDescent="0.2">
      <c r="A53" s="146"/>
      <c r="B53" s="778"/>
      <c r="C53" s="124" t="s">
        <v>46</v>
      </c>
      <c r="D53" s="245" t="s">
        <v>42</v>
      </c>
      <c r="E53" s="237">
        <f>25.4/2</f>
        <v>12.7</v>
      </c>
      <c r="F53" s="246" t="s">
        <v>9</v>
      </c>
      <c r="G53" s="189"/>
      <c r="I53"/>
      <c r="J53"/>
      <c r="K53" s="20"/>
    </row>
    <row r="54" spans="1:11" ht="15" customHeight="1" x14ac:dyDescent="0.2">
      <c r="A54" s="146"/>
      <c r="B54" s="778"/>
      <c r="C54" s="182" t="s">
        <v>47</v>
      </c>
      <c r="D54" s="183"/>
      <c r="E54" s="260">
        <v>2</v>
      </c>
      <c r="F54" s="185" t="s">
        <v>9</v>
      </c>
      <c r="G54" s="189"/>
      <c r="I54"/>
      <c r="J54"/>
      <c r="K54" s="20"/>
    </row>
    <row r="55" spans="1:11" ht="15" customHeight="1" x14ac:dyDescent="0.2">
      <c r="A55" s="146"/>
      <c r="B55" s="778"/>
      <c r="C55" s="182" t="s">
        <v>48</v>
      </c>
      <c r="D55" s="183"/>
      <c r="E55" s="237">
        <f>E54*E53</f>
        <v>25.4</v>
      </c>
      <c r="F55" s="185" t="s">
        <v>11</v>
      </c>
      <c r="G55" s="189"/>
      <c r="I55"/>
      <c r="J55"/>
      <c r="K55" s="20"/>
    </row>
    <row r="56" spans="1:11" ht="15" customHeight="1" x14ac:dyDescent="0.2">
      <c r="A56" s="146"/>
      <c r="B56" s="778"/>
      <c r="C56" s="288" t="s">
        <v>67</v>
      </c>
      <c r="D56" s="291" t="s">
        <v>226</v>
      </c>
      <c r="E56" s="244">
        <v>7.76</v>
      </c>
      <c r="F56" s="292" t="s">
        <v>9</v>
      </c>
      <c r="G56" s="189"/>
      <c r="I56"/>
      <c r="J56"/>
      <c r="K56" s="20"/>
    </row>
    <row r="57" spans="1:11" ht="15" customHeight="1" x14ac:dyDescent="0.2">
      <c r="A57" s="146"/>
      <c r="B57" s="778"/>
      <c r="C57" s="182" t="s">
        <v>227</v>
      </c>
      <c r="D57" s="183"/>
      <c r="E57" s="237">
        <f>2*0.25*3.14*E56^2</f>
        <v>94.541631999999993</v>
      </c>
      <c r="F57" s="185" t="s">
        <v>11</v>
      </c>
      <c r="G57" s="189"/>
      <c r="I57"/>
      <c r="J57"/>
      <c r="K57" s="20"/>
    </row>
    <row r="58" spans="1:11" ht="15" customHeight="1" x14ac:dyDescent="0.2">
      <c r="A58" s="146"/>
      <c r="B58" s="778"/>
      <c r="C58" s="182" t="s">
        <v>228</v>
      </c>
      <c r="D58" s="165"/>
      <c r="E58" s="243">
        <f>E51/E55</f>
        <v>3.1749999999999998</v>
      </c>
      <c r="F58" s="184"/>
      <c r="G58" s="86"/>
      <c r="H58"/>
      <c r="I58"/>
      <c r="J58"/>
      <c r="K58" s="20"/>
    </row>
    <row r="59" spans="1:11" ht="15" customHeight="1" x14ac:dyDescent="0.25">
      <c r="A59" s="146"/>
      <c r="B59" s="778"/>
      <c r="C59" s="182" t="s">
        <v>264</v>
      </c>
      <c r="D59" s="165"/>
      <c r="E59" s="243">
        <f>E57/E55</f>
        <v>3.722111496062992</v>
      </c>
      <c r="F59" s="184"/>
      <c r="G59" s="37"/>
      <c r="I59"/>
      <c r="J59"/>
      <c r="K59" s="20"/>
    </row>
  </sheetData>
  <mergeCells count="4">
    <mergeCell ref="C3:F3"/>
    <mergeCell ref="C36:F36"/>
    <mergeCell ref="C37:C38"/>
    <mergeCell ref="C2:F2"/>
  </mergeCells>
  <hyperlinks>
    <hyperlink ref="B47" r:id="rId1" xr:uid="{ECB03702-4E15-48C3-8651-CAA1EFBDDD97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60"/>
  <sheetViews>
    <sheetView showGridLines="0" tabSelected="1" topLeftCell="C12" zoomScale="75" zoomScaleNormal="75" workbookViewId="0">
      <selection activeCell="K47" sqref="K47"/>
    </sheetView>
  </sheetViews>
  <sheetFormatPr baseColWidth="10" defaultColWidth="9.140625" defaultRowHeight="14.25" x14ac:dyDescent="0.2"/>
  <cols>
    <col min="1" max="1" width="23.42578125" customWidth="1"/>
    <col min="2" max="2" width="63.140625" style="16" customWidth="1"/>
    <col min="3" max="3" width="55.28515625" style="3" customWidth="1"/>
    <col min="4" max="4" width="14.5703125" style="3" customWidth="1"/>
    <col min="5" max="5" width="12.7109375" style="4" customWidth="1"/>
    <col min="6" max="6" width="17.85546875" style="3" customWidth="1"/>
    <col min="7" max="7" width="13.140625" style="3" customWidth="1"/>
    <col min="8" max="8" width="13.28515625" style="3" customWidth="1"/>
    <col min="9" max="9" width="13.42578125" style="3" customWidth="1"/>
    <col min="10" max="10" width="9.5703125" style="3" customWidth="1"/>
    <col min="11" max="11" width="41.85546875" style="3" customWidth="1"/>
    <col min="12" max="12" width="32" style="3" customWidth="1"/>
    <col min="13" max="13" width="45.5703125" style="3" customWidth="1"/>
    <col min="14" max="14" width="10.42578125" style="3" customWidth="1"/>
    <col min="15" max="15" width="14.28515625" style="3" customWidth="1"/>
    <col min="16" max="16" width="16.42578125" style="3" customWidth="1"/>
    <col min="17" max="17" width="23" style="3" customWidth="1"/>
    <col min="18" max="18" width="16.5703125" style="3" customWidth="1"/>
    <col min="19" max="22" width="11.42578125" style="3" customWidth="1"/>
    <col min="23" max="23" width="16" style="3" customWidth="1"/>
    <col min="24" max="24" width="13.140625" style="3" customWidth="1"/>
    <col min="25" max="1024" width="11.42578125" style="3" customWidth="1"/>
  </cols>
  <sheetData>
    <row r="1" spans="1:9" ht="15.75" x14ac:dyDescent="0.25">
      <c r="C1" s="216" t="s">
        <v>194</v>
      </c>
      <c r="D1" s="35"/>
      <c r="E1" s="35"/>
      <c r="F1" s="35"/>
    </row>
    <row r="2" spans="1:9" x14ac:dyDescent="0.2">
      <c r="C2" s="652" t="s">
        <v>483</v>
      </c>
      <c r="D2" s="35"/>
      <c r="E2" s="35"/>
      <c r="F2" s="35"/>
    </row>
    <row r="3" spans="1:9" x14ac:dyDescent="0.2">
      <c r="C3" s="653" t="s">
        <v>0</v>
      </c>
      <c r="E3" s="3"/>
    </row>
    <row r="4" spans="1:9" x14ac:dyDescent="0.2">
      <c r="C4" s="654" t="s">
        <v>195</v>
      </c>
      <c r="E4" s="3"/>
      <c r="F4" s="7"/>
    </row>
    <row r="5" spans="1:9" ht="15" x14ac:dyDescent="0.25">
      <c r="B5" s="189"/>
      <c r="C5" s="655" t="s">
        <v>484</v>
      </c>
      <c r="D5" s="1"/>
      <c r="E5" s="38"/>
      <c r="F5" s="38"/>
      <c r="G5" s="37"/>
      <c r="H5" s="38"/>
    </row>
    <row r="6" spans="1:9" ht="15" x14ac:dyDescent="0.25">
      <c r="B6" s="189"/>
      <c r="C6" s="656" t="s">
        <v>485</v>
      </c>
      <c r="D6" s="140"/>
      <c r="E6" s="38"/>
      <c r="F6" s="38"/>
      <c r="G6" s="37"/>
      <c r="H6" s="38"/>
    </row>
    <row r="7" spans="1:9" ht="15" x14ac:dyDescent="0.25">
      <c r="B7" s="189"/>
      <c r="C7" s="657" t="s">
        <v>486</v>
      </c>
      <c r="D7" s="63"/>
      <c r="E7" s="38"/>
      <c r="F7" s="38"/>
      <c r="G7" s="37"/>
      <c r="H7" s="38"/>
    </row>
    <row r="8" spans="1:9" ht="15" x14ac:dyDescent="0.25">
      <c r="B8" s="189"/>
      <c r="C8" s="658" t="s">
        <v>1</v>
      </c>
      <c r="E8" s="38"/>
      <c r="F8" s="38"/>
      <c r="G8" s="37"/>
      <c r="H8" s="38"/>
    </row>
    <row r="9" spans="1:9" ht="15" x14ac:dyDescent="0.25">
      <c r="B9" s="189"/>
      <c r="C9" s="659" t="s">
        <v>196</v>
      </c>
      <c r="E9" s="38"/>
      <c r="F9" s="38"/>
      <c r="G9" s="37"/>
      <c r="H9" s="38"/>
    </row>
    <row r="10" spans="1:9" ht="15" x14ac:dyDescent="0.25">
      <c r="B10" s="189"/>
      <c r="C10" s="548" t="s">
        <v>487</v>
      </c>
      <c r="D10" s="1"/>
      <c r="E10" s="38"/>
      <c r="F10" s="38"/>
      <c r="G10" s="37"/>
      <c r="H10" s="38"/>
    </row>
    <row r="11" spans="1:9" ht="41.25" customHeight="1" x14ac:dyDescent="0.25">
      <c r="A11" s="307" t="s">
        <v>520</v>
      </c>
      <c r="B11" s="760" t="s">
        <v>105</v>
      </c>
      <c r="C11" s="660"/>
      <c r="D11" s="6"/>
      <c r="E11" s="534"/>
      <c r="F11" s="661"/>
      <c r="G11" s="307" t="s">
        <v>197</v>
      </c>
      <c r="H11" s="308" t="s">
        <v>198</v>
      </c>
    </row>
    <row r="12" spans="1:9" ht="22.5" customHeight="1" x14ac:dyDescent="0.2">
      <c r="A12" s="146"/>
      <c r="B12" s="147"/>
      <c r="C12" s="869" t="s">
        <v>327</v>
      </c>
      <c r="D12" s="870"/>
      <c r="E12" s="870"/>
      <c r="F12" s="870"/>
      <c r="G12" s="748"/>
      <c r="H12" s="749"/>
      <c r="I12"/>
    </row>
    <row r="13" spans="1:9" ht="15" x14ac:dyDescent="0.2">
      <c r="A13" s="146"/>
      <c r="B13" s="451"/>
      <c r="C13" s="578" t="s">
        <v>598</v>
      </c>
      <c r="D13" s="6"/>
      <c r="E13" s="324"/>
      <c r="F13" s="22"/>
      <c r="G13" s="750"/>
      <c r="H13" s="751"/>
    </row>
    <row r="14" spans="1:9" x14ac:dyDescent="0.2">
      <c r="A14" s="146"/>
      <c r="B14" s="451"/>
      <c r="C14" s="849" t="s">
        <v>599</v>
      </c>
      <c r="D14" s="199"/>
      <c r="E14" s="850">
        <v>2</v>
      </c>
      <c r="F14" s="199" t="s">
        <v>7</v>
      </c>
      <c r="G14" s="589">
        <v>2</v>
      </c>
      <c r="H14" s="571">
        <f t="shared" ref="H14" si="0">G14-E14</f>
        <v>0</v>
      </c>
    </row>
    <row r="15" spans="1:9" ht="15" customHeight="1" x14ac:dyDescent="0.2">
      <c r="A15" s="146"/>
      <c r="B15" s="761" t="s">
        <v>373</v>
      </c>
      <c r="C15" s="156" t="s">
        <v>404</v>
      </c>
      <c r="D15" s="157"/>
      <c r="E15" s="471">
        <v>9</v>
      </c>
      <c r="F15" s="128" t="s">
        <v>2</v>
      </c>
      <c r="G15" s="47">
        <v>9</v>
      </c>
      <c r="H15" s="571">
        <f>G15-E15</f>
        <v>0</v>
      </c>
    </row>
    <row r="16" spans="1:9" ht="15" customHeight="1" x14ac:dyDescent="0.2">
      <c r="A16" s="146"/>
      <c r="B16" s="761"/>
      <c r="C16" s="432" t="s">
        <v>403</v>
      </c>
      <c r="D16" s="201"/>
      <c r="E16" s="202">
        <f>2*(8*TAN(3.143/8)*(E15/2)^2)</f>
        <v>134.27197583544981</v>
      </c>
      <c r="F16" s="313" t="s">
        <v>3</v>
      </c>
      <c r="G16" s="581">
        <f>2*(8*TAN(3.143/8)*(G15/2)^2)</f>
        <v>134.27197583544981</v>
      </c>
      <c r="H16" s="571">
        <f t="shared" ref="H16:H40" si="1">G16-E16</f>
        <v>0</v>
      </c>
    </row>
    <row r="17" spans="1:8" ht="15" customHeight="1" x14ac:dyDescent="0.2">
      <c r="A17" s="146"/>
      <c r="B17" s="761" t="s">
        <v>373</v>
      </c>
      <c r="C17" s="431" t="s">
        <v>289</v>
      </c>
      <c r="D17" s="199"/>
      <c r="E17" s="200">
        <v>1.2</v>
      </c>
      <c r="F17" s="199" t="s">
        <v>2</v>
      </c>
      <c r="G17" s="582">
        <v>1.2</v>
      </c>
      <c r="H17" s="571">
        <f t="shared" si="1"/>
        <v>0</v>
      </c>
    </row>
    <row r="18" spans="1:8" ht="15" customHeight="1" x14ac:dyDescent="0.2">
      <c r="A18" s="146"/>
      <c r="B18" s="761"/>
      <c r="C18" s="314" t="s">
        <v>160</v>
      </c>
      <c r="D18" s="315"/>
      <c r="E18" s="316">
        <f>E16*E17</f>
        <v>161.12637100253977</v>
      </c>
      <c r="F18" s="579" t="s">
        <v>23</v>
      </c>
      <c r="G18" s="583">
        <f>G16*G17</f>
        <v>161.12637100253977</v>
      </c>
      <c r="H18" s="571">
        <f t="shared" si="1"/>
        <v>0</v>
      </c>
    </row>
    <row r="19" spans="1:8" ht="15" customHeight="1" x14ac:dyDescent="0.2">
      <c r="A19" s="146"/>
      <c r="B19" s="761"/>
      <c r="C19" s="433" t="s">
        <v>324</v>
      </c>
      <c r="D19" s="9"/>
      <c r="E19" s="318">
        <v>3</v>
      </c>
      <c r="F19" s="580" t="s">
        <v>7</v>
      </c>
      <c r="G19" s="584">
        <v>3</v>
      </c>
      <c r="H19" s="571">
        <f t="shared" si="1"/>
        <v>0</v>
      </c>
    </row>
    <row r="20" spans="1:8" ht="15" customHeight="1" x14ac:dyDescent="0.2">
      <c r="A20" s="146"/>
      <c r="B20" s="761"/>
      <c r="C20" s="433" t="s">
        <v>308</v>
      </c>
      <c r="D20" s="9"/>
      <c r="E20" s="318">
        <v>6</v>
      </c>
      <c r="F20" s="580" t="s">
        <v>307</v>
      </c>
      <c r="G20" s="584">
        <v>6</v>
      </c>
      <c r="H20" s="571">
        <f t="shared" si="1"/>
        <v>0</v>
      </c>
    </row>
    <row r="21" spans="1:8" ht="15" customHeight="1" x14ac:dyDescent="0.2">
      <c r="A21" s="146"/>
      <c r="B21" s="761"/>
      <c r="C21" s="156" t="s">
        <v>405</v>
      </c>
      <c r="D21" s="157"/>
      <c r="E21" s="446">
        <f>(E19*E20)/4</f>
        <v>4.5</v>
      </c>
      <c r="F21" s="157" t="s">
        <v>406</v>
      </c>
      <c r="G21" s="585">
        <f>(G19*G20)/4</f>
        <v>4.5</v>
      </c>
      <c r="H21" s="571">
        <f t="shared" si="1"/>
        <v>0</v>
      </c>
    </row>
    <row r="22" spans="1:8" ht="15" customHeight="1" x14ac:dyDescent="0.2">
      <c r="A22" s="146"/>
      <c r="B22" s="761"/>
      <c r="C22" s="314" t="s">
        <v>309</v>
      </c>
      <c r="D22" s="315"/>
      <c r="E22" s="316">
        <f>12*4/E20</f>
        <v>8</v>
      </c>
      <c r="F22" s="579" t="s">
        <v>7</v>
      </c>
      <c r="G22" s="583">
        <f>12*4/G20</f>
        <v>8</v>
      </c>
      <c r="H22" s="571">
        <f t="shared" si="1"/>
        <v>0</v>
      </c>
    </row>
    <row r="23" spans="1:8" ht="15" customHeight="1" x14ac:dyDescent="0.2">
      <c r="A23" s="146"/>
      <c r="B23" s="189" t="s">
        <v>469</v>
      </c>
      <c r="C23" s="539" t="s">
        <v>396</v>
      </c>
      <c r="D23" s="540"/>
      <c r="E23" s="541">
        <v>300</v>
      </c>
      <c r="F23" s="540" t="s">
        <v>310</v>
      </c>
      <c r="G23" s="586">
        <v>300</v>
      </c>
      <c r="H23" s="571">
        <f t="shared" si="1"/>
        <v>0</v>
      </c>
    </row>
    <row r="24" spans="1:8" ht="15" customHeight="1" x14ac:dyDescent="0.2">
      <c r="A24" s="146"/>
      <c r="B24" s="761"/>
      <c r="C24" s="321" t="s">
        <v>475</v>
      </c>
      <c r="D24" s="322"/>
      <c r="E24" s="542">
        <v>300</v>
      </c>
      <c r="F24" s="544" t="s">
        <v>310</v>
      </c>
      <c r="G24" s="581">
        <v>300</v>
      </c>
      <c r="H24" s="571">
        <f t="shared" si="1"/>
        <v>0</v>
      </c>
    </row>
    <row r="25" spans="1:8" ht="15" customHeight="1" x14ac:dyDescent="0.2">
      <c r="A25" s="146"/>
      <c r="B25" s="452" t="s">
        <v>479</v>
      </c>
      <c r="C25" s="536" t="s">
        <v>333</v>
      </c>
      <c r="D25" s="537"/>
      <c r="E25" s="538">
        <v>0.97</v>
      </c>
      <c r="F25" s="695"/>
      <c r="G25" s="662">
        <v>0.97</v>
      </c>
      <c r="H25" s="571">
        <f t="shared" si="1"/>
        <v>0</v>
      </c>
    </row>
    <row r="26" spans="1:8" ht="15" customHeight="1" x14ac:dyDescent="0.2">
      <c r="A26" s="146"/>
      <c r="B26" s="452"/>
      <c r="C26" s="434" t="s">
        <v>334</v>
      </c>
      <c r="D26" s="331"/>
      <c r="E26" s="332">
        <f>E25^3</f>
        <v>0.91267299999999996</v>
      </c>
      <c r="F26" s="696"/>
      <c r="G26" s="663">
        <f>G25^3</f>
        <v>0.91267299999999996</v>
      </c>
      <c r="H26" s="571">
        <f t="shared" si="1"/>
        <v>0</v>
      </c>
    </row>
    <row r="27" spans="1:8" ht="15" customHeight="1" x14ac:dyDescent="0.2">
      <c r="A27" s="146"/>
      <c r="C27" s="314" t="s">
        <v>397</v>
      </c>
      <c r="D27" s="315"/>
      <c r="E27" s="317">
        <f>E24/E26</f>
        <v>328.70480445899028</v>
      </c>
      <c r="F27" s="697" t="s">
        <v>310</v>
      </c>
      <c r="G27" s="664">
        <f>G24/G26</f>
        <v>328.70480445899028</v>
      </c>
      <c r="H27" s="571">
        <f t="shared" si="1"/>
        <v>0</v>
      </c>
    </row>
    <row r="28" spans="1:8" ht="15" customHeight="1" x14ac:dyDescent="0.2">
      <c r="A28" s="146"/>
      <c r="B28" s="148" t="s">
        <v>284</v>
      </c>
      <c r="C28" s="156" t="s">
        <v>407</v>
      </c>
      <c r="D28" s="157"/>
      <c r="E28" s="471">
        <f>E27*E16</f>
        <v>44135.843561313799</v>
      </c>
      <c r="F28" s="128" t="s">
        <v>43</v>
      </c>
      <c r="G28" s="665">
        <f>G27*G16</f>
        <v>44135.843561313799</v>
      </c>
      <c r="H28" s="571">
        <f t="shared" si="1"/>
        <v>0</v>
      </c>
    </row>
    <row r="29" spans="1:8" ht="15" customHeight="1" x14ac:dyDescent="0.2">
      <c r="A29" s="146"/>
      <c r="B29" s="452"/>
      <c r="C29" s="182" t="s">
        <v>408</v>
      </c>
      <c r="D29" s="333"/>
      <c r="E29" s="334">
        <f>E28*E25</f>
        <v>42811.76825447438</v>
      </c>
      <c r="F29" s="51" t="s">
        <v>43</v>
      </c>
      <c r="G29" s="664">
        <f>G28*G25</f>
        <v>42811.76825447438</v>
      </c>
      <c r="H29" s="571">
        <f t="shared" si="1"/>
        <v>0</v>
      </c>
    </row>
    <row r="30" spans="1:8" ht="15" customHeight="1" x14ac:dyDescent="0.2">
      <c r="A30" s="146"/>
      <c r="B30" s="452"/>
      <c r="C30" s="182" t="s">
        <v>409</v>
      </c>
      <c r="D30" s="333"/>
      <c r="E30" s="334">
        <f>E29*E25</f>
        <v>41527.415206840145</v>
      </c>
      <c r="F30" s="51" t="s">
        <v>43</v>
      </c>
      <c r="G30" s="664">
        <f>G29*G25</f>
        <v>41527.415206840145</v>
      </c>
      <c r="H30" s="571">
        <f t="shared" si="1"/>
        <v>0</v>
      </c>
    </row>
    <row r="31" spans="1:8" ht="15" customHeight="1" x14ac:dyDescent="0.2">
      <c r="A31" s="146"/>
      <c r="B31" s="452"/>
      <c r="C31" s="314" t="s">
        <v>314</v>
      </c>
      <c r="D31" s="315"/>
      <c r="E31" s="317">
        <f>E30*E25</f>
        <v>40281.59275063494</v>
      </c>
      <c r="F31" s="697" t="s">
        <v>43</v>
      </c>
      <c r="G31" s="664">
        <f>G30*G25</f>
        <v>40281.59275063494</v>
      </c>
      <c r="H31" s="571">
        <f t="shared" si="1"/>
        <v>0</v>
      </c>
    </row>
    <row r="32" spans="1:8" ht="15" customHeight="1" x14ac:dyDescent="0.2">
      <c r="A32" s="146"/>
      <c r="B32" s="148" t="s">
        <v>284</v>
      </c>
      <c r="C32" s="433" t="s">
        <v>311</v>
      </c>
      <c r="D32" s="9"/>
      <c r="E32" s="318">
        <v>18</v>
      </c>
      <c r="F32" s="698" t="s">
        <v>7</v>
      </c>
      <c r="G32" s="666">
        <v>18</v>
      </c>
      <c r="H32" s="571">
        <f t="shared" si="1"/>
        <v>0</v>
      </c>
    </row>
    <row r="33" spans="1:11" ht="15" customHeight="1" x14ac:dyDescent="0.2">
      <c r="A33" s="146"/>
      <c r="B33" s="452" t="s">
        <v>373</v>
      </c>
      <c r="C33" s="433" t="s">
        <v>312</v>
      </c>
      <c r="D33" s="9"/>
      <c r="E33" s="319">
        <f>1.2*1*1</f>
        <v>1.2</v>
      </c>
      <c r="F33" s="698" t="s">
        <v>23</v>
      </c>
      <c r="G33" s="667">
        <f>1.2*1*1</f>
        <v>1.2</v>
      </c>
      <c r="H33" s="571">
        <f t="shared" si="1"/>
        <v>0</v>
      </c>
    </row>
    <row r="34" spans="1:11" ht="15" customHeight="1" x14ac:dyDescent="0.2">
      <c r="A34" s="146"/>
      <c r="B34" s="452"/>
      <c r="C34" s="182" t="s">
        <v>313</v>
      </c>
      <c r="D34" s="333"/>
      <c r="E34" s="422">
        <f>E32*E33</f>
        <v>21.599999999999998</v>
      </c>
      <c r="F34" s="51" t="s">
        <v>23</v>
      </c>
      <c r="G34" s="668">
        <f>G32*G33</f>
        <v>21.599999999999998</v>
      </c>
      <c r="H34" s="571">
        <f t="shared" si="1"/>
        <v>0</v>
      </c>
    </row>
    <row r="35" spans="1:11" ht="15" customHeight="1" x14ac:dyDescent="0.2">
      <c r="A35" s="146"/>
      <c r="B35" s="452"/>
      <c r="C35" s="314" t="s">
        <v>326</v>
      </c>
      <c r="D35" s="315"/>
      <c r="E35" s="317">
        <f>E28/E34</f>
        <v>2043.326090801565</v>
      </c>
      <c r="F35" s="697" t="s">
        <v>310</v>
      </c>
      <c r="G35" s="664">
        <f>G28/G34</f>
        <v>2043.326090801565</v>
      </c>
      <c r="H35" s="571">
        <f t="shared" si="1"/>
        <v>0</v>
      </c>
    </row>
    <row r="36" spans="1:11" ht="15" customHeight="1" x14ac:dyDescent="0.2">
      <c r="A36" s="146"/>
      <c r="B36" s="148" t="s">
        <v>284</v>
      </c>
      <c r="C36" s="433" t="s">
        <v>320</v>
      </c>
      <c r="D36" s="9"/>
      <c r="E36" s="318">
        <v>2</v>
      </c>
      <c r="F36" s="698" t="s">
        <v>7</v>
      </c>
      <c r="G36" s="666">
        <v>2</v>
      </c>
      <c r="H36" s="571">
        <f t="shared" si="1"/>
        <v>0</v>
      </c>
    </row>
    <row r="37" spans="1:11" ht="15" customHeight="1" x14ac:dyDescent="0.2">
      <c r="A37" s="146"/>
      <c r="B37" s="452"/>
      <c r="C37" s="314" t="s">
        <v>321</v>
      </c>
      <c r="D37" s="315"/>
      <c r="E37" s="316">
        <f>E48/E36</f>
        <v>441.358435613138</v>
      </c>
      <c r="F37" s="697" t="s">
        <v>7</v>
      </c>
      <c r="G37" s="669">
        <f>G48/G36</f>
        <v>441.358435613138</v>
      </c>
      <c r="H37" s="571">
        <f t="shared" si="1"/>
        <v>0</v>
      </c>
    </row>
    <row r="38" spans="1:11" ht="15" customHeight="1" x14ac:dyDescent="0.2">
      <c r="A38" s="146"/>
      <c r="B38" s="452"/>
      <c r="C38" s="699" t="s">
        <v>325</v>
      </c>
      <c r="D38" s="203"/>
      <c r="E38" s="204">
        <f>E32+E36</f>
        <v>20</v>
      </c>
      <c r="F38" s="700" t="s">
        <v>7</v>
      </c>
      <c r="G38" s="670">
        <f>G32+G36</f>
        <v>20</v>
      </c>
      <c r="H38" s="571">
        <f t="shared" si="1"/>
        <v>0</v>
      </c>
    </row>
    <row r="39" spans="1:11" ht="15" customHeight="1" x14ac:dyDescent="0.2">
      <c r="A39" s="146"/>
      <c r="B39" s="452"/>
      <c r="C39" s="314" t="s">
        <v>318</v>
      </c>
      <c r="D39" s="315"/>
      <c r="E39" s="320">
        <f>E44/E16</f>
        <v>7.1670000000000025</v>
      </c>
      <c r="F39" s="697" t="s">
        <v>317</v>
      </c>
      <c r="G39" s="668">
        <f>G44/G16</f>
        <v>7.1670000000000025</v>
      </c>
      <c r="H39" s="571">
        <f t="shared" si="1"/>
        <v>0</v>
      </c>
    </row>
    <row r="40" spans="1:11" ht="15" customHeight="1" x14ac:dyDescent="0.2">
      <c r="A40" s="146"/>
      <c r="B40" s="452"/>
      <c r="C40" s="314" t="s">
        <v>322</v>
      </c>
      <c r="D40" s="315"/>
      <c r="E40" s="320">
        <f>E53/E16</f>
        <v>1.26</v>
      </c>
      <c r="F40" s="697" t="s">
        <v>323</v>
      </c>
      <c r="G40" s="668">
        <f>G53/G16</f>
        <v>1.26</v>
      </c>
      <c r="H40" s="571">
        <f t="shared" si="1"/>
        <v>0</v>
      </c>
    </row>
    <row r="41" spans="1:11" ht="15" customHeight="1" x14ac:dyDescent="0.2">
      <c r="A41" s="146"/>
      <c r="B41" s="452"/>
      <c r="C41" s="578" t="s">
        <v>355</v>
      </c>
      <c r="D41" s="6"/>
      <c r="E41" s="324"/>
      <c r="F41" s="22"/>
      <c r="G41" s="47"/>
      <c r="H41" s="61"/>
    </row>
    <row r="42" spans="1:11" ht="15" customHeight="1" x14ac:dyDescent="0.2">
      <c r="A42" s="146"/>
      <c r="B42" s="380" t="s">
        <v>285</v>
      </c>
      <c r="C42" s="488" t="s">
        <v>435</v>
      </c>
      <c r="D42" s="489"/>
      <c r="E42" s="490">
        <f>'Suministro de Alimento y O2'!D58</f>
        <v>23.890000000000011</v>
      </c>
      <c r="F42" s="701" t="s">
        <v>78</v>
      </c>
      <c r="G42" s="671">
        <f>'Suministro de Alimento y O2'!D58</f>
        <v>23.890000000000011</v>
      </c>
      <c r="H42" s="571">
        <f t="shared" ref="H42:H54" si="2">G42-E42</f>
        <v>0</v>
      </c>
    </row>
    <row r="43" spans="1:11" ht="15" customHeight="1" x14ac:dyDescent="0.2">
      <c r="A43" s="146"/>
      <c r="B43" s="380"/>
      <c r="C43" s="436" t="s">
        <v>474</v>
      </c>
      <c r="D43" s="535"/>
      <c r="E43" s="479">
        <f>'Suministro de Alimento y O2'!E58/'Parab Camarones'!E18</f>
        <v>6.1572164948453638</v>
      </c>
      <c r="F43" s="702" t="s">
        <v>31</v>
      </c>
      <c r="G43" s="672">
        <f>'Suministro de Alimento y O2'!E58/'Parab Camarones'!E18</f>
        <v>6.1572164948453638</v>
      </c>
      <c r="H43" s="571">
        <f t="shared" si="2"/>
        <v>0</v>
      </c>
      <c r="I43" s="597"/>
      <c r="J43" s="20"/>
      <c r="K43" s="598"/>
    </row>
    <row r="44" spans="1:11" ht="15" customHeight="1" x14ac:dyDescent="0.2">
      <c r="A44" s="146"/>
      <c r="B44" s="452"/>
      <c r="C44" s="314" t="s">
        <v>315</v>
      </c>
      <c r="D44" s="315"/>
      <c r="E44" s="317">
        <f>E31*E42/1000</f>
        <v>962.32725081266915</v>
      </c>
      <c r="F44" s="697" t="s">
        <v>316</v>
      </c>
      <c r="G44" s="664">
        <f>G31*G42/1000</f>
        <v>962.32725081266915</v>
      </c>
      <c r="H44" s="571">
        <f t="shared" si="2"/>
        <v>0</v>
      </c>
    </row>
    <row r="45" spans="1:11" ht="15" customHeight="1" x14ac:dyDescent="0.2">
      <c r="A45" s="146"/>
      <c r="B45" s="452"/>
      <c r="C45" s="443" t="s">
        <v>434</v>
      </c>
      <c r="D45" s="48"/>
      <c r="E45" s="160">
        <f>E14*E22*E44/1000</f>
        <v>15.397236013002706</v>
      </c>
      <c r="F45" s="703" t="s">
        <v>75</v>
      </c>
      <c r="G45" s="671">
        <f>G14*G22*G44/1000</f>
        <v>15.397236013002706</v>
      </c>
      <c r="H45" s="571">
        <f t="shared" si="2"/>
        <v>0</v>
      </c>
    </row>
    <row r="46" spans="1:11" ht="15" customHeight="1" x14ac:dyDescent="0.2">
      <c r="A46" s="146"/>
      <c r="B46" s="452"/>
      <c r="C46" s="314" t="s">
        <v>395</v>
      </c>
      <c r="D46" s="315"/>
      <c r="E46" s="320">
        <f>1000*E45/E16</f>
        <v>114.67200000000004</v>
      </c>
      <c r="F46" s="697" t="s">
        <v>323</v>
      </c>
      <c r="G46" s="668">
        <f>1000*G45/G16</f>
        <v>114.67200000000004</v>
      </c>
      <c r="H46" s="571">
        <f t="shared" si="2"/>
        <v>0</v>
      </c>
    </row>
    <row r="47" spans="1:11" ht="15" customHeight="1" x14ac:dyDescent="0.2">
      <c r="A47" s="146"/>
      <c r="B47" s="452" t="s">
        <v>478</v>
      </c>
      <c r="C47" s="433" t="s">
        <v>319</v>
      </c>
      <c r="D47" s="9"/>
      <c r="E47" s="318">
        <v>50</v>
      </c>
      <c r="F47" s="698" t="s">
        <v>7</v>
      </c>
      <c r="G47" s="666">
        <v>50</v>
      </c>
      <c r="H47" s="571">
        <f t="shared" si="2"/>
        <v>0</v>
      </c>
      <c r="K47" s="49"/>
    </row>
    <row r="48" spans="1:11" ht="15" customHeight="1" x14ac:dyDescent="0.2">
      <c r="A48" s="146"/>
      <c r="B48" s="452"/>
      <c r="C48" s="423" t="s">
        <v>340</v>
      </c>
      <c r="D48" s="424"/>
      <c r="E48" s="425">
        <f>E28/E47</f>
        <v>882.716871226276</v>
      </c>
      <c r="F48" s="701" t="s">
        <v>7</v>
      </c>
      <c r="G48" s="664">
        <f>G28/G47</f>
        <v>882.716871226276</v>
      </c>
      <c r="H48" s="571">
        <f t="shared" si="2"/>
        <v>0</v>
      </c>
    </row>
    <row r="49" spans="1:9" ht="15" customHeight="1" x14ac:dyDescent="0.2">
      <c r="A49" s="146"/>
      <c r="B49" s="452"/>
      <c r="C49" s="182" t="s">
        <v>341</v>
      </c>
      <c r="D49" s="333"/>
      <c r="E49" s="334">
        <f>E48*E25</f>
        <v>856.23536508948769</v>
      </c>
      <c r="F49" s="51" t="s">
        <v>43</v>
      </c>
      <c r="G49" s="664">
        <f>G48*G25</f>
        <v>856.23536508948769</v>
      </c>
      <c r="H49" s="571">
        <f t="shared" si="2"/>
        <v>0</v>
      </c>
    </row>
    <row r="50" spans="1:9" ht="15" customHeight="1" x14ac:dyDescent="0.2">
      <c r="A50" s="146"/>
      <c r="B50" s="452"/>
      <c r="C50" s="182" t="s">
        <v>342</v>
      </c>
      <c r="D50" s="333"/>
      <c r="E50" s="334">
        <f>E49*E25</f>
        <v>830.54830413680304</v>
      </c>
      <c r="F50" s="51" t="s">
        <v>43</v>
      </c>
      <c r="G50" s="664">
        <f>G49*G25</f>
        <v>830.54830413680304</v>
      </c>
      <c r="H50" s="571">
        <f t="shared" si="2"/>
        <v>0</v>
      </c>
    </row>
    <row r="51" spans="1:9" ht="15" customHeight="1" x14ac:dyDescent="0.2">
      <c r="A51" s="146"/>
      <c r="B51" s="452"/>
      <c r="C51" s="314" t="s">
        <v>343</v>
      </c>
      <c r="D51" s="315"/>
      <c r="E51" s="317">
        <f>E50*E25</f>
        <v>805.63185501269891</v>
      </c>
      <c r="F51" s="697" t="s">
        <v>7</v>
      </c>
      <c r="G51" s="664">
        <f>G50*G25</f>
        <v>805.63185501269891</v>
      </c>
      <c r="H51" s="571">
        <f t="shared" si="2"/>
        <v>0</v>
      </c>
    </row>
    <row r="52" spans="1:9" ht="15" customHeight="1" x14ac:dyDescent="0.2">
      <c r="A52" s="146"/>
      <c r="B52" s="380" t="s">
        <v>285</v>
      </c>
      <c r="C52" s="488" t="s">
        <v>120</v>
      </c>
      <c r="D52" s="489"/>
      <c r="E52" s="491">
        <f>'Suministro de Alimento y O2'!D25</f>
        <v>210</v>
      </c>
      <c r="F52" s="704" t="s">
        <v>78</v>
      </c>
      <c r="G52" s="673">
        <f>'Suministro de Alimento y O2'!D25</f>
        <v>210</v>
      </c>
      <c r="H52" s="571">
        <f t="shared" si="2"/>
        <v>0</v>
      </c>
    </row>
    <row r="53" spans="1:9" ht="15" customHeight="1" x14ac:dyDescent="0.2">
      <c r="A53" s="146"/>
      <c r="B53" s="452"/>
      <c r="C53" s="314" t="s">
        <v>328</v>
      </c>
      <c r="D53" s="315"/>
      <c r="E53" s="317">
        <f>E51*E52/1000</f>
        <v>169.18268955266677</v>
      </c>
      <c r="F53" s="697" t="s">
        <v>316</v>
      </c>
      <c r="G53" s="664">
        <f>G51*G52/1000</f>
        <v>169.18268955266677</v>
      </c>
      <c r="H53" s="571">
        <f t="shared" si="2"/>
        <v>0</v>
      </c>
    </row>
    <row r="54" spans="1:9" ht="15" customHeight="1" x14ac:dyDescent="0.2">
      <c r="A54" s="146"/>
      <c r="B54" s="452"/>
      <c r="C54" s="443" t="s">
        <v>432</v>
      </c>
      <c r="D54" s="48"/>
      <c r="E54" s="160">
        <f>E14*E22*E53/1000</f>
        <v>2.7069230328426683</v>
      </c>
      <c r="F54" s="703" t="s">
        <v>75</v>
      </c>
      <c r="G54" s="671">
        <f>G14*G22*G53/1000</f>
        <v>2.7069230328426683</v>
      </c>
      <c r="H54" s="571">
        <f t="shared" si="2"/>
        <v>0</v>
      </c>
    </row>
    <row r="55" spans="1:9" ht="15" customHeight="1" x14ac:dyDescent="0.2">
      <c r="A55" s="146"/>
      <c r="B55" s="452"/>
      <c r="C55" s="578" t="s">
        <v>379</v>
      </c>
      <c r="D55" s="6"/>
      <c r="E55" s="324"/>
      <c r="F55" s="22"/>
      <c r="G55" s="47"/>
      <c r="H55" s="61"/>
    </row>
    <row r="56" spans="1:9" ht="15" customHeight="1" x14ac:dyDescent="0.2">
      <c r="A56" s="146"/>
      <c r="B56" s="189" t="s">
        <v>469</v>
      </c>
      <c r="C56" s="543" t="s">
        <v>412</v>
      </c>
      <c r="D56" s="544"/>
      <c r="E56" s="545">
        <v>5</v>
      </c>
      <c r="F56" s="705" t="s">
        <v>21</v>
      </c>
      <c r="G56" s="594">
        <v>5</v>
      </c>
      <c r="H56" s="571">
        <f t="shared" ref="H56:H68" si="3">G56-E56</f>
        <v>0</v>
      </c>
    </row>
    <row r="57" spans="1:9" ht="15" customHeight="1" x14ac:dyDescent="0.2">
      <c r="A57" s="146"/>
      <c r="B57" s="380" t="s">
        <v>285</v>
      </c>
      <c r="C57" s="435" t="s">
        <v>383</v>
      </c>
      <c r="D57" s="141"/>
      <c r="E57" s="207">
        <v>0.77</v>
      </c>
      <c r="F57" s="142"/>
      <c r="G57" s="662">
        <v>0.77</v>
      </c>
      <c r="H57" s="571">
        <f t="shared" si="3"/>
        <v>0</v>
      </c>
    </row>
    <row r="58" spans="1:9" ht="15" customHeight="1" x14ac:dyDescent="0.2">
      <c r="A58" s="146"/>
      <c r="B58" s="189" t="s">
        <v>480</v>
      </c>
      <c r="C58" s="435" t="s">
        <v>413</v>
      </c>
      <c r="D58" s="141"/>
      <c r="E58" s="392">
        <v>0.25</v>
      </c>
      <c r="F58" s="142" t="s">
        <v>384</v>
      </c>
      <c r="G58" s="674">
        <v>0.25</v>
      </c>
      <c r="H58" s="571">
        <f t="shared" si="3"/>
        <v>0</v>
      </c>
    </row>
    <row r="59" spans="1:9" ht="15" customHeight="1" x14ac:dyDescent="0.2">
      <c r="A59" s="146"/>
      <c r="B59" s="380" t="s">
        <v>235</v>
      </c>
      <c r="C59" s="435" t="s">
        <v>473</v>
      </c>
      <c r="D59" s="206" t="s">
        <v>519</v>
      </c>
      <c r="E59" s="392">
        <v>4.71</v>
      </c>
      <c r="F59" s="142" t="s">
        <v>385</v>
      </c>
      <c r="G59" s="674">
        <v>4.71</v>
      </c>
      <c r="H59" s="571">
        <f t="shared" si="3"/>
        <v>0</v>
      </c>
    </row>
    <row r="60" spans="1:9" ht="15" customHeight="1" x14ac:dyDescent="0.2">
      <c r="A60" s="146"/>
      <c r="B60" s="148" t="s">
        <v>418</v>
      </c>
      <c r="C60" s="435" t="s">
        <v>386</v>
      </c>
      <c r="D60" s="141"/>
      <c r="E60" s="207">
        <v>0.6</v>
      </c>
      <c r="F60" s="142"/>
      <c r="G60" s="662">
        <v>0.6</v>
      </c>
      <c r="H60" s="571">
        <f t="shared" si="3"/>
        <v>0</v>
      </c>
    </row>
    <row r="61" spans="1:9" ht="15" customHeight="1" x14ac:dyDescent="0.2">
      <c r="A61" s="146"/>
      <c r="B61" s="380"/>
      <c r="C61" s="436" t="s">
        <v>433</v>
      </c>
      <c r="D61" s="111"/>
      <c r="E61" s="112">
        <f>1000*E18/(3600*'Parrilla de Aireación'!F38)</f>
        <v>1.9270553591565256</v>
      </c>
      <c r="F61" s="706" t="s">
        <v>70</v>
      </c>
      <c r="G61" s="675">
        <f>1000*G18/(3600*'Parrilla de Aireación'!F38)</f>
        <v>1.9270553591565256</v>
      </c>
      <c r="H61" s="571">
        <f t="shared" si="3"/>
        <v>0</v>
      </c>
    </row>
    <row r="62" spans="1:9" ht="15" customHeight="1" x14ac:dyDescent="0.2">
      <c r="A62" s="146"/>
      <c r="B62" s="380" t="s">
        <v>481</v>
      </c>
      <c r="C62" s="437" t="s">
        <v>175</v>
      </c>
      <c r="D62" s="141"/>
      <c r="E62" s="209" t="s">
        <v>176</v>
      </c>
      <c r="F62" s="142" t="s">
        <v>81</v>
      </c>
      <c r="G62" s="667" t="s">
        <v>176</v>
      </c>
      <c r="H62" s="571"/>
      <c r="I62" s="49"/>
    </row>
    <row r="63" spans="1:9" ht="15" customHeight="1" x14ac:dyDescent="0.2">
      <c r="A63" s="146"/>
      <c r="B63" s="452"/>
      <c r="C63" s="707" t="s">
        <v>174</v>
      </c>
      <c r="D63" s="129" t="str">
        <f>IF(E63&gt;10,"no cumple","cumple")</f>
        <v>cumple</v>
      </c>
      <c r="E63" s="113">
        <f>2*1000*'Parrilla de Aireación'!E18/E18</f>
        <v>5.8438796469064069</v>
      </c>
      <c r="F63" s="708" t="s">
        <v>81</v>
      </c>
      <c r="G63" s="676">
        <f>2*1000*'Parrilla de Aireación'!G18/G18</f>
        <v>5.8438796469064069</v>
      </c>
      <c r="H63" s="571">
        <f t="shared" si="3"/>
        <v>0</v>
      </c>
      <c r="I63" s="49"/>
    </row>
    <row r="64" spans="1:9" ht="15" customHeight="1" x14ac:dyDescent="0.2">
      <c r="A64" s="146"/>
      <c r="B64" s="452" t="s">
        <v>280</v>
      </c>
      <c r="C64" s="707" t="s">
        <v>365</v>
      </c>
      <c r="D64" s="129"/>
      <c r="E64" s="113">
        <f>2*24*'Parrilla de Aireación'!E35</f>
        <v>8.6327999253258874</v>
      </c>
      <c r="F64" s="708" t="s">
        <v>366</v>
      </c>
      <c r="G64" s="676">
        <f>2*24*'Parrilla de Aireación'!G35</f>
        <v>8.6327999253258874</v>
      </c>
      <c r="H64" s="571">
        <f t="shared" si="3"/>
        <v>0</v>
      </c>
      <c r="I64" s="49"/>
    </row>
    <row r="65" spans="1:16" ht="15" customHeight="1" x14ac:dyDescent="0.2">
      <c r="A65" s="146"/>
      <c r="B65" s="380" t="s">
        <v>285</v>
      </c>
      <c r="C65" s="124" t="s">
        <v>374</v>
      </c>
      <c r="D65" s="11"/>
      <c r="E65" s="12">
        <f>'Suministro de Alimento y O2'!J94/1000</f>
        <v>5.0010463072623699</v>
      </c>
      <c r="F65" s="51" t="s">
        <v>366</v>
      </c>
      <c r="G65" s="667">
        <f>'Suministro de Alimento y O2'!J94/1000</f>
        <v>5.0010463072623699</v>
      </c>
      <c r="H65" s="571">
        <f t="shared" si="3"/>
        <v>0</v>
      </c>
      <c r="I65" s="49"/>
    </row>
    <row r="66" spans="1:16" ht="15" customHeight="1" x14ac:dyDescent="0.2">
      <c r="A66" s="146"/>
      <c r="B66" s="452"/>
      <c r="C66" s="707" t="s">
        <v>375</v>
      </c>
      <c r="D66" s="129" t="str">
        <f>IF(E66&gt;1,"falta oxigenación","cumple")</f>
        <v>cumple</v>
      </c>
      <c r="E66" s="403">
        <f>E65/E64</f>
        <v>0.57930756539264761</v>
      </c>
      <c r="F66" s="708"/>
      <c r="G66" s="677">
        <f>G65/G64</f>
        <v>0.57930756539264761</v>
      </c>
      <c r="H66" s="571">
        <f t="shared" si="3"/>
        <v>0</v>
      </c>
      <c r="I66" s="49"/>
    </row>
    <row r="67" spans="1:16" ht="15" customHeight="1" x14ac:dyDescent="0.2">
      <c r="A67" s="146"/>
      <c r="B67" s="452" t="s">
        <v>280</v>
      </c>
      <c r="C67" s="447" t="s">
        <v>368</v>
      </c>
      <c r="D67" s="448"/>
      <c r="E67" s="449">
        <f>'Parrilla de Aireación'!E44</f>
        <v>1.4929775113635346</v>
      </c>
      <c r="F67" s="466" t="s">
        <v>132</v>
      </c>
      <c r="G67" s="667">
        <f>'Parrilla de Aireación'!G44</f>
        <v>1.4929775113635346</v>
      </c>
      <c r="H67" s="571">
        <f t="shared" si="3"/>
        <v>0</v>
      </c>
      <c r="I67" s="49"/>
    </row>
    <row r="68" spans="1:16" ht="15" customHeight="1" x14ac:dyDescent="0.2">
      <c r="A68" s="146"/>
      <c r="B68" s="380" t="s">
        <v>285</v>
      </c>
      <c r="C68" s="443" t="s">
        <v>362</v>
      </c>
      <c r="D68" s="48"/>
      <c r="E68" s="54">
        <f>E14*24*365*E67*'Suministro de Alimento y O2'!K96</f>
        <v>11166.087388164322</v>
      </c>
      <c r="F68" s="709" t="s">
        <v>363</v>
      </c>
      <c r="G68" s="665">
        <f>G14*24*365*G67*'Suministro de Alimento y O2'!K96</f>
        <v>11166.087388164322</v>
      </c>
      <c r="H68" s="571">
        <f t="shared" si="3"/>
        <v>0</v>
      </c>
      <c r="I68" s="49"/>
    </row>
    <row r="69" spans="1:16" ht="15" customHeight="1" x14ac:dyDescent="0.2">
      <c r="A69" s="146"/>
      <c r="B69" s="452"/>
      <c r="C69" s="710" t="s">
        <v>467</v>
      </c>
      <c r="F69" s="711"/>
      <c r="G69" s="748"/>
      <c r="H69" s="749"/>
      <c r="I69" s="49"/>
    </row>
    <row r="70" spans="1:16" ht="15" customHeight="1" x14ac:dyDescent="0.2">
      <c r="A70" s="146"/>
      <c r="C70" s="578" t="s">
        <v>440</v>
      </c>
      <c r="D70" s="6"/>
      <c r="E70" s="324"/>
      <c r="F70" s="22"/>
      <c r="G70" s="750"/>
      <c r="H70" s="751"/>
      <c r="P70" s="46"/>
    </row>
    <row r="71" spans="1:16" ht="15" customHeight="1" x14ac:dyDescent="0.2">
      <c r="A71" s="146"/>
      <c r="B71" s="380" t="s">
        <v>468</v>
      </c>
      <c r="C71" s="435" t="s">
        <v>110</v>
      </c>
      <c r="D71" s="141"/>
      <c r="E71" s="207">
        <v>0.16</v>
      </c>
      <c r="F71" s="142"/>
      <c r="G71" s="678">
        <v>0.16</v>
      </c>
      <c r="H71" s="571">
        <f t="shared" ref="H71:H104" si="4">G71-E71</f>
        <v>0</v>
      </c>
      <c r="P71" s="46"/>
    </row>
    <row r="72" spans="1:16" ht="15" customHeight="1" x14ac:dyDescent="0.2">
      <c r="A72" s="146"/>
      <c r="B72" s="380" t="s">
        <v>526</v>
      </c>
      <c r="C72" s="437" t="s">
        <v>233</v>
      </c>
      <c r="D72" s="326" t="s">
        <v>139</v>
      </c>
      <c r="E72" s="327">
        <v>25</v>
      </c>
      <c r="F72" s="712"/>
      <c r="G72" s="310">
        <v>25</v>
      </c>
      <c r="H72" s="571">
        <f t="shared" si="4"/>
        <v>0</v>
      </c>
      <c r="P72" s="46"/>
    </row>
    <row r="73" spans="1:16" ht="15" customHeight="1" x14ac:dyDescent="0.2">
      <c r="A73" s="146"/>
      <c r="B73" s="808" t="s">
        <v>548</v>
      </c>
      <c r="C73" s="435" t="s">
        <v>83</v>
      </c>
      <c r="D73" s="141"/>
      <c r="E73" s="207">
        <v>0.46</v>
      </c>
      <c r="F73" s="142"/>
      <c r="G73" s="678">
        <v>0.46</v>
      </c>
      <c r="H73" s="571">
        <f t="shared" si="4"/>
        <v>0</v>
      </c>
      <c r="P73" s="46"/>
    </row>
    <row r="74" spans="1:16" ht="15" customHeight="1" x14ac:dyDescent="0.2">
      <c r="A74" s="146"/>
      <c r="B74" s="325" t="s">
        <v>285</v>
      </c>
      <c r="C74" s="459" t="s">
        <v>416</v>
      </c>
      <c r="D74" s="456"/>
      <c r="E74" s="460">
        <f>E14*365*'Suministro de Alimento y O2'!H137/1000</f>
        <v>6741.9594957159361</v>
      </c>
      <c r="F74" s="466" t="s">
        <v>417</v>
      </c>
      <c r="G74" s="334">
        <f>G14*365*'Suministro de Alimento y O2'!H137/1000</f>
        <v>6741.9594957159361</v>
      </c>
      <c r="H74" s="571">
        <f t="shared" si="4"/>
        <v>0</v>
      </c>
      <c r="P74" s="46"/>
    </row>
    <row r="75" spans="1:16" ht="15" customHeight="1" x14ac:dyDescent="0.2">
      <c r="A75" s="146"/>
      <c r="B75" s="380" t="s">
        <v>285</v>
      </c>
      <c r="C75" s="713" t="s">
        <v>414</v>
      </c>
      <c r="D75" s="458"/>
      <c r="E75" s="457">
        <f>E14*'Suministro de Alimento y O2'!H134/1000</f>
        <v>80.035387415183479</v>
      </c>
      <c r="F75" s="466" t="s">
        <v>415</v>
      </c>
      <c r="G75" s="422">
        <f>G14*'Suministro de Alimento y O2'!H134/1000</f>
        <v>80.035387415183479</v>
      </c>
      <c r="H75" s="571">
        <f t="shared" si="4"/>
        <v>0</v>
      </c>
      <c r="P75" s="46"/>
    </row>
    <row r="76" spans="1:16" ht="15" customHeight="1" x14ac:dyDescent="0.2">
      <c r="A76" s="146"/>
      <c r="B76" s="867" t="s">
        <v>558</v>
      </c>
      <c r="C76" s="435" t="s">
        <v>550</v>
      </c>
      <c r="D76" s="141"/>
      <c r="E76" s="810">
        <v>8.9999999999999993E-3</v>
      </c>
      <c r="F76" s="141"/>
      <c r="G76" s="811">
        <v>8.9999999999999993E-3</v>
      </c>
      <c r="H76" s="571">
        <f t="shared" si="4"/>
        <v>0</v>
      </c>
      <c r="P76" s="46"/>
    </row>
    <row r="77" spans="1:16" ht="15" customHeight="1" x14ac:dyDescent="0.2">
      <c r="A77" s="146"/>
      <c r="B77" s="868"/>
      <c r="C77" s="435" t="s">
        <v>551</v>
      </c>
      <c r="D77" s="141"/>
      <c r="E77" s="810">
        <v>0.01</v>
      </c>
      <c r="F77" s="141"/>
      <c r="G77" s="812">
        <v>0.01</v>
      </c>
      <c r="H77" s="571">
        <f t="shared" si="4"/>
        <v>0</v>
      </c>
      <c r="P77" s="46"/>
    </row>
    <row r="78" spans="1:16" ht="15" customHeight="1" x14ac:dyDescent="0.2">
      <c r="A78" s="146"/>
      <c r="B78" s="815" t="s">
        <v>552</v>
      </c>
      <c r="C78" s="435" t="s">
        <v>553</v>
      </c>
      <c r="D78" s="141"/>
      <c r="E78" s="207">
        <v>0.15</v>
      </c>
      <c r="F78" s="141"/>
      <c r="G78" s="813">
        <v>0.15</v>
      </c>
      <c r="H78" s="571">
        <f t="shared" si="4"/>
        <v>0</v>
      </c>
      <c r="P78" s="46"/>
    </row>
    <row r="79" spans="1:16" ht="15" customHeight="1" x14ac:dyDescent="0.2">
      <c r="A79" s="146"/>
      <c r="B79" s="815"/>
      <c r="C79" s="459" t="s">
        <v>564</v>
      </c>
      <c r="D79" s="456"/>
      <c r="E79" s="814">
        <f>E77/E78</f>
        <v>6.6666666666666666E-2</v>
      </c>
      <c r="F79" s="456"/>
      <c r="G79" s="812">
        <f>G77/G78</f>
        <v>6.6666666666666666E-2</v>
      </c>
      <c r="H79" s="571">
        <f t="shared" si="4"/>
        <v>0</v>
      </c>
      <c r="P79" s="46"/>
    </row>
    <row r="80" spans="1:16" ht="15" customHeight="1" x14ac:dyDescent="0.2">
      <c r="A80" s="146"/>
      <c r="B80" s="380" t="s">
        <v>285</v>
      </c>
      <c r="C80" s="257" t="s">
        <v>556</v>
      </c>
      <c r="D80" s="355"/>
      <c r="E80" s="109">
        <f>E14*E79*'Suministro de Alimento y O2'!E95</f>
        <v>6.4986836562872403</v>
      </c>
      <c r="F80" s="101" t="s">
        <v>554</v>
      </c>
      <c r="G80" s="590">
        <f>G14*G79*'Suministro de Alimento y O2'!E95</f>
        <v>6.4986836562872403</v>
      </c>
      <c r="H80" s="571">
        <f t="shared" si="4"/>
        <v>0</v>
      </c>
      <c r="P80" s="46"/>
    </row>
    <row r="81" spans="1:16" ht="15" customHeight="1" x14ac:dyDescent="0.2">
      <c r="A81" s="146"/>
      <c r="B81" s="380"/>
      <c r="C81" s="124" t="s">
        <v>559</v>
      </c>
      <c r="D81" s="817">
        <f>E81/E82</f>
        <v>0.15636191780269271</v>
      </c>
      <c r="E81" s="64">
        <f>E78*E80</f>
        <v>0.974802548443086</v>
      </c>
      <c r="F81" s="6" t="s">
        <v>554</v>
      </c>
      <c r="G81" s="582">
        <f>G78*G80</f>
        <v>0.974802548443086</v>
      </c>
      <c r="H81" s="571">
        <f t="shared" si="4"/>
        <v>0</v>
      </c>
      <c r="P81" s="46"/>
    </row>
    <row r="82" spans="1:16" ht="15" customHeight="1" x14ac:dyDescent="0.2">
      <c r="A82" s="146"/>
      <c r="B82" s="380" t="s">
        <v>285</v>
      </c>
      <c r="C82" s="821" t="s">
        <v>563</v>
      </c>
      <c r="D82" s="822"/>
      <c r="E82" s="356">
        <f>E14*'Suministro de Alimento y O2'!F95</f>
        <v>6.2342708642980007</v>
      </c>
      <c r="F82" s="823" t="s">
        <v>554</v>
      </c>
      <c r="G82" s="582">
        <f>G14*'Suministro de Alimento y O2'!F95</f>
        <v>6.2342708642980007</v>
      </c>
      <c r="H82" s="571">
        <f t="shared" si="4"/>
        <v>0</v>
      </c>
      <c r="P82" s="46"/>
    </row>
    <row r="83" spans="1:16" ht="15" customHeight="1" x14ac:dyDescent="0.2">
      <c r="A83" s="146"/>
      <c r="B83" s="380"/>
      <c r="C83" s="821" t="s">
        <v>562</v>
      </c>
      <c r="D83" s="822">
        <f>E83/E82</f>
        <v>0.84363808219730729</v>
      </c>
      <c r="E83" s="356">
        <f>E82-E81</f>
        <v>5.2594683158549147</v>
      </c>
      <c r="F83" s="749" t="s">
        <v>554</v>
      </c>
      <c r="G83" s="582">
        <f>G82-G81</f>
        <v>5.2594683158549147</v>
      </c>
      <c r="H83" s="571">
        <f t="shared" si="4"/>
        <v>0</v>
      </c>
      <c r="P83" s="46"/>
    </row>
    <row r="84" spans="1:16" ht="15" customHeight="1" x14ac:dyDescent="0.2">
      <c r="A84" s="146"/>
      <c r="B84" s="380"/>
      <c r="C84" s="818"/>
      <c r="D84" s="819"/>
      <c r="E84" s="820">
        <f>E83*E108</f>
        <v>18.4081391054922</v>
      </c>
      <c r="F84" s="23" t="s">
        <v>561</v>
      </c>
      <c r="G84" s="582">
        <f>G83*G108</f>
        <v>18.4081391054922</v>
      </c>
      <c r="H84" s="571">
        <f t="shared" si="4"/>
        <v>0</v>
      </c>
      <c r="P84" s="46"/>
    </row>
    <row r="85" spans="1:16" ht="15" customHeight="1" x14ac:dyDescent="0.2">
      <c r="A85" s="146"/>
      <c r="B85" s="380"/>
      <c r="C85" s="257" t="s">
        <v>560</v>
      </c>
      <c r="D85" s="108"/>
      <c r="E85" s="109">
        <f>E84/E73</f>
        <v>40.017693707591739</v>
      </c>
      <c r="F85" s="101" t="s">
        <v>561</v>
      </c>
      <c r="G85" s="582">
        <f>G84/G73</f>
        <v>40.017693707591739</v>
      </c>
      <c r="H85" s="571">
        <f t="shared" si="4"/>
        <v>0</v>
      </c>
      <c r="P85" s="46"/>
    </row>
    <row r="86" spans="1:16" ht="15" customHeight="1" x14ac:dyDescent="0.2">
      <c r="A86" s="146"/>
      <c r="B86" s="380" t="s">
        <v>235</v>
      </c>
      <c r="C86" s="435" t="s">
        <v>436</v>
      </c>
      <c r="D86" s="141"/>
      <c r="E86" s="208">
        <v>3.57</v>
      </c>
      <c r="F86" s="142" t="s">
        <v>152</v>
      </c>
      <c r="G86" s="679">
        <v>3.57</v>
      </c>
      <c r="H86" s="571">
        <f t="shared" si="4"/>
        <v>0</v>
      </c>
      <c r="L86" s="56"/>
      <c r="M86" s="56"/>
      <c r="N86" s="56"/>
      <c r="P86" s="46"/>
    </row>
    <row r="87" spans="1:16" ht="15" customHeight="1" x14ac:dyDescent="0.2">
      <c r="A87" s="146"/>
      <c r="B87" s="380" t="s">
        <v>285</v>
      </c>
      <c r="C87" s="182" t="s">
        <v>349</v>
      </c>
      <c r="D87" s="11"/>
      <c r="E87" s="12">
        <f>E14*E86*'Suministro de Alimento y O2'!F95</f>
        <v>22.25634698554386</v>
      </c>
      <c r="F87" s="61" t="s">
        <v>82</v>
      </c>
      <c r="G87" s="12">
        <f>G14*G86*'Suministro de Alimento y O2'!F95</f>
        <v>22.25634698554386</v>
      </c>
      <c r="H87" s="571">
        <f t="shared" si="4"/>
        <v>0</v>
      </c>
      <c r="L87" s="56"/>
      <c r="M87" s="56"/>
      <c r="N87" s="56"/>
      <c r="P87" s="46"/>
    </row>
    <row r="88" spans="1:16" ht="15" customHeight="1" x14ac:dyDescent="0.2">
      <c r="A88" s="146"/>
      <c r="B88" s="763" t="s">
        <v>339</v>
      </c>
      <c r="C88" s="437" t="s">
        <v>437</v>
      </c>
      <c r="D88" s="141"/>
      <c r="E88" s="208">
        <v>1.35</v>
      </c>
      <c r="F88" s="142" t="s">
        <v>338</v>
      </c>
      <c r="G88" s="679">
        <v>1.35</v>
      </c>
      <c r="H88" s="571">
        <f t="shared" si="4"/>
        <v>0</v>
      </c>
      <c r="L88" s="56"/>
      <c r="M88" s="56"/>
      <c r="N88" s="56"/>
      <c r="P88" s="46"/>
    </row>
    <row r="89" spans="1:16" ht="15" customHeight="1" x14ac:dyDescent="0.2">
      <c r="A89" s="146"/>
      <c r="B89" s="380" t="s">
        <v>410</v>
      </c>
      <c r="C89" s="437" t="s">
        <v>336</v>
      </c>
      <c r="D89" s="141"/>
      <c r="E89" s="207">
        <v>0.8</v>
      </c>
      <c r="F89" s="142"/>
      <c r="G89" s="678">
        <v>0.8</v>
      </c>
      <c r="H89" s="571">
        <f t="shared" si="4"/>
        <v>0</v>
      </c>
      <c r="L89" s="56"/>
      <c r="M89" s="56"/>
      <c r="N89" s="56"/>
      <c r="P89" s="46"/>
    </row>
    <row r="90" spans="1:16" ht="15" customHeight="1" x14ac:dyDescent="0.2">
      <c r="A90" s="146"/>
      <c r="B90" s="380"/>
      <c r="C90" s="124" t="s">
        <v>337</v>
      </c>
      <c r="D90" s="11"/>
      <c r="E90" s="12">
        <f>E88*E89</f>
        <v>1.08</v>
      </c>
      <c r="F90" s="51" t="s">
        <v>338</v>
      </c>
      <c r="G90" s="12">
        <f>G88*G89</f>
        <v>1.08</v>
      </c>
      <c r="H90" s="571">
        <f t="shared" si="4"/>
        <v>0</v>
      </c>
      <c r="L90" s="56"/>
      <c r="M90" s="56"/>
      <c r="N90" s="56"/>
      <c r="P90" s="46"/>
    </row>
    <row r="91" spans="1:16" ht="15" customHeight="1" x14ac:dyDescent="0.2">
      <c r="A91" s="146"/>
      <c r="B91" s="380" t="s">
        <v>285</v>
      </c>
      <c r="C91" s="459" t="s">
        <v>422</v>
      </c>
      <c r="D91" s="456"/>
      <c r="E91" s="460">
        <f>E14*365*'Suministro de Alimento y O2'!I137/1000</f>
        <v>12151.566154814484</v>
      </c>
      <c r="F91" s="466" t="s">
        <v>417</v>
      </c>
      <c r="G91" s="334">
        <f>G14*365*'Suministro de Alimento y O2'!I137/1000</f>
        <v>12151.566154814484</v>
      </c>
      <c r="H91" s="571">
        <f t="shared" si="4"/>
        <v>0</v>
      </c>
      <c r="L91" s="56"/>
      <c r="M91" s="56"/>
      <c r="N91" s="56"/>
      <c r="P91" s="46"/>
    </row>
    <row r="92" spans="1:16" ht="15" customHeight="1" x14ac:dyDescent="0.2">
      <c r="A92" s="146"/>
      <c r="B92" s="380"/>
      <c r="C92" s="257" t="s">
        <v>555</v>
      </c>
      <c r="D92" s="355"/>
      <c r="E92" s="816">
        <f>E87/E90</f>
        <v>20.607728690318389</v>
      </c>
      <c r="F92" s="104" t="s">
        <v>82</v>
      </c>
      <c r="G92" s="422">
        <f>G87/G90</f>
        <v>20.607728690318389</v>
      </c>
      <c r="H92" s="571">
        <f t="shared" si="4"/>
        <v>0</v>
      </c>
      <c r="L92" s="56"/>
      <c r="M92" s="56"/>
      <c r="N92" s="56"/>
      <c r="P92" s="46"/>
    </row>
    <row r="93" spans="1:16" ht="15" customHeight="1" x14ac:dyDescent="0.2">
      <c r="A93" s="146"/>
      <c r="B93" s="452" t="s">
        <v>392</v>
      </c>
      <c r="C93" s="437" t="s">
        <v>400</v>
      </c>
      <c r="D93" s="141" t="s">
        <v>391</v>
      </c>
      <c r="E93" s="366">
        <v>15</v>
      </c>
      <c r="F93" s="142" t="s">
        <v>224</v>
      </c>
      <c r="G93" s="85">
        <v>15</v>
      </c>
      <c r="H93" s="571">
        <f t="shared" si="4"/>
        <v>0</v>
      </c>
      <c r="L93" s="56"/>
      <c r="M93" s="56"/>
      <c r="N93" s="56"/>
      <c r="P93" s="46"/>
    </row>
    <row r="94" spans="1:16" ht="15" customHeight="1" x14ac:dyDescent="0.2">
      <c r="A94" s="146"/>
      <c r="B94" s="452"/>
      <c r="C94" s="715" t="s">
        <v>477</v>
      </c>
      <c r="D94" s="426"/>
      <c r="E94" s="427">
        <v>36</v>
      </c>
      <c r="F94" s="716" t="s">
        <v>371</v>
      </c>
      <c r="G94" s="85">
        <v>36</v>
      </c>
      <c r="H94" s="571">
        <f t="shared" si="4"/>
        <v>0</v>
      </c>
      <c r="L94" s="56"/>
      <c r="M94" s="56"/>
      <c r="N94" s="56"/>
      <c r="P94" s="46"/>
    </row>
    <row r="95" spans="1:16" ht="15" customHeight="1" x14ac:dyDescent="0.2">
      <c r="A95" s="146"/>
      <c r="B95" s="380" t="s">
        <v>401</v>
      </c>
      <c r="C95" s="713" t="s">
        <v>476</v>
      </c>
      <c r="D95" s="428">
        <f>E93/E94</f>
        <v>0.41666666666666669</v>
      </c>
      <c r="E95" s="429">
        <f>D95*E18</f>
        <v>67.135987917724904</v>
      </c>
      <c r="F95" s="466" t="s">
        <v>23</v>
      </c>
      <c r="G95" s="47">
        <f>D95*G18</f>
        <v>67.135987917724904</v>
      </c>
      <c r="H95" s="571">
        <f t="shared" si="4"/>
        <v>0</v>
      </c>
      <c r="L95" s="56"/>
      <c r="M95" s="56"/>
      <c r="N95" s="56"/>
      <c r="P95" s="46"/>
    </row>
    <row r="96" spans="1:16" ht="15" customHeight="1" x14ac:dyDescent="0.2">
      <c r="A96" s="146"/>
      <c r="B96" s="762" t="s">
        <v>465</v>
      </c>
      <c r="C96" s="435" t="s">
        <v>113</v>
      </c>
      <c r="D96" s="141"/>
      <c r="E96" s="208">
        <v>4.7</v>
      </c>
      <c r="F96" s="142" t="s">
        <v>114</v>
      </c>
      <c r="G96" s="679">
        <v>4.7</v>
      </c>
      <c r="H96" s="571">
        <f t="shared" si="4"/>
        <v>0</v>
      </c>
      <c r="L96" s="56"/>
      <c r="M96" s="56"/>
      <c r="N96" s="56"/>
      <c r="P96" s="46"/>
    </row>
    <row r="97" spans="1:16" ht="15" customHeight="1" x14ac:dyDescent="0.2">
      <c r="A97" s="146"/>
      <c r="B97" s="762" t="s">
        <v>466</v>
      </c>
      <c r="C97" s="435" t="s">
        <v>144</v>
      </c>
      <c r="D97" s="141"/>
      <c r="E97" s="208">
        <v>79</v>
      </c>
      <c r="F97" s="142" t="s">
        <v>173</v>
      </c>
      <c r="G97" s="679">
        <v>79</v>
      </c>
      <c r="H97" s="571">
        <f t="shared" si="4"/>
        <v>0</v>
      </c>
      <c r="L97" s="56"/>
      <c r="M97" s="56"/>
      <c r="N97" s="56"/>
      <c r="P97" s="46"/>
    </row>
    <row r="98" spans="1:16" ht="15" customHeight="1" x14ac:dyDescent="0.2">
      <c r="A98" s="146"/>
      <c r="B98" s="762"/>
      <c r="C98" s="124" t="s">
        <v>145</v>
      </c>
      <c r="D98" s="309"/>
      <c r="E98" s="356">
        <f>E14*E97*'Suministro de Alimento y O2'!D95/1000000</f>
        <v>0.35137036723632026</v>
      </c>
      <c r="F98" s="61" t="s">
        <v>90</v>
      </c>
      <c r="G98" s="356">
        <f>G14*G97*'Suministro de Alimento y O2'!D95/1000000</f>
        <v>0.35137036723632026</v>
      </c>
      <c r="H98" s="571">
        <f t="shared" si="4"/>
        <v>0</v>
      </c>
      <c r="L98" s="56"/>
      <c r="M98" s="56"/>
      <c r="N98" s="56"/>
      <c r="P98" s="46"/>
    </row>
    <row r="99" spans="1:16" ht="15" customHeight="1" x14ac:dyDescent="0.2">
      <c r="A99" s="146"/>
      <c r="B99" s="762"/>
      <c r="C99" s="257" t="s">
        <v>350</v>
      </c>
      <c r="D99" s="355" t="str">
        <f>IF(E99&gt;E98,"suficiente","insuficiente")</f>
        <v>suficiente</v>
      </c>
      <c r="E99" s="109">
        <f>E96*E123/1000</f>
        <v>4.252075252423154</v>
      </c>
      <c r="F99" s="104" t="s">
        <v>90</v>
      </c>
      <c r="G99" s="64">
        <f>G96*G123/1000</f>
        <v>4.252075252423154</v>
      </c>
      <c r="H99" s="571">
        <f t="shared" si="4"/>
        <v>0</v>
      </c>
      <c r="L99" s="56"/>
      <c r="M99" s="56"/>
      <c r="N99" s="56"/>
      <c r="P99" s="46"/>
    </row>
    <row r="100" spans="1:16" ht="15" customHeight="1" x14ac:dyDescent="0.2">
      <c r="A100" s="146"/>
      <c r="B100" s="825" t="s">
        <v>565</v>
      </c>
      <c r="C100" s="437" t="s">
        <v>566</v>
      </c>
      <c r="D100" s="141"/>
      <c r="E100" s="810">
        <f>(2.1-1.3)/100</f>
        <v>8.0000000000000002E-3</v>
      </c>
      <c r="F100" s="141"/>
      <c r="G100" s="812">
        <f>(2.1-1.3)/100</f>
        <v>8.0000000000000002E-3</v>
      </c>
      <c r="H100" s="571">
        <f t="shared" si="4"/>
        <v>0</v>
      </c>
      <c r="I100" s="56"/>
      <c r="L100" s="56"/>
      <c r="M100" s="56"/>
      <c r="N100" s="56"/>
      <c r="P100" s="46"/>
    </row>
    <row r="101" spans="1:16" ht="15" customHeight="1" x14ac:dyDescent="0.2">
      <c r="A101" s="146"/>
      <c r="B101" s="825" t="s">
        <v>567</v>
      </c>
      <c r="C101" s="437" t="s">
        <v>568</v>
      </c>
      <c r="D101" s="141"/>
      <c r="E101" s="810">
        <f>E100/0.31</f>
        <v>2.5806451612903226E-2</v>
      </c>
      <c r="F101" s="141"/>
      <c r="G101" s="812">
        <f>G100/0.31</f>
        <v>2.5806451612903226E-2</v>
      </c>
      <c r="H101" s="571">
        <f t="shared" si="4"/>
        <v>0</v>
      </c>
      <c r="L101" s="56"/>
      <c r="M101" s="56"/>
      <c r="N101" s="56"/>
      <c r="P101" s="46"/>
    </row>
    <row r="102" spans="1:16" ht="15" customHeight="1" x14ac:dyDescent="0.2">
      <c r="A102" s="146"/>
      <c r="B102" s="825"/>
      <c r="C102" s="124" t="s">
        <v>577</v>
      </c>
      <c r="D102" s="11"/>
      <c r="E102" s="835">
        <f>E119*'Suministro de Alimento y O2'!G95/'Suministro de Alimento y O2'!E95</f>
        <v>0.57747334877780154</v>
      </c>
      <c r="F102" s="11"/>
      <c r="G102" s="812">
        <f>G119*'Suministro de Alimento y O2'!G95/'Suministro de Alimento y O2'!E95</f>
        <v>0.57747334877780154</v>
      </c>
      <c r="H102" s="571">
        <f t="shared" si="4"/>
        <v>0</v>
      </c>
      <c r="L102" s="56"/>
      <c r="M102" s="56"/>
      <c r="N102" s="56"/>
      <c r="P102" s="46"/>
    </row>
    <row r="103" spans="1:16" ht="15" customHeight="1" x14ac:dyDescent="0.2">
      <c r="A103" s="146"/>
      <c r="B103" s="825"/>
      <c r="C103" s="257" t="s">
        <v>578</v>
      </c>
      <c r="D103" s="785"/>
      <c r="E103" s="836">
        <f>E101/E102</f>
        <v>4.4688558645211096E-2</v>
      </c>
      <c r="F103" s="785"/>
      <c r="G103" s="812">
        <f>G101/G102</f>
        <v>4.4688558645211096E-2</v>
      </c>
      <c r="H103" s="571">
        <f t="shared" si="4"/>
        <v>0</v>
      </c>
      <c r="L103" s="56"/>
      <c r="M103" s="56"/>
      <c r="N103" s="56"/>
      <c r="P103" s="46"/>
    </row>
    <row r="104" spans="1:16" ht="15" customHeight="1" x14ac:dyDescent="0.2">
      <c r="A104" s="146"/>
      <c r="B104" s="825" t="s">
        <v>569</v>
      </c>
      <c r="C104" s="437" t="s">
        <v>570</v>
      </c>
      <c r="D104" s="141"/>
      <c r="E104" s="209">
        <v>4</v>
      </c>
      <c r="F104" s="141" t="s">
        <v>571</v>
      </c>
      <c r="G104" s="582">
        <v>4</v>
      </c>
      <c r="H104" s="571">
        <f t="shared" si="4"/>
        <v>0</v>
      </c>
      <c r="L104" s="56"/>
      <c r="M104" s="56"/>
      <c r="N104" s="56"/>
      <c r="P104" s="46"/>
    </row>
    <row r="105" spans="1:16" ht="15" customHeight="1" x14ac:dyDescent="0.2">
      <c r="A105" s="146"/>
      <c r="B105" s="825"/>
      <c r="C105" s="434" t="s">
        <v>572</v>
      </c>
      <c r="D105" s="516"/>
      <c r="E105" s="517">
        <f>1000*E104*E101</f>
        <v>103.2258064516129</v>
      </c>
      <c r="F105" s="331" t="s">
        <v>573</v>
      </c>
      <c r="G105" s="790">
        <f>1000*G104*G101</f>
        <v>103.2258064516129</v>
      </c>
      <c r="H105" s="571">
        <f>G105-E105</f>
        <v>0</v>
      </c>
      <c r="L105" s="56"/>
      <c r="M105" s="56"/>
      <c r="N105" s="56"/>
      <c r="P105" s="46"/>
    </row>
    <row r="106" spans="1:16" ht="15" customHeight="1" x14ac:dyDescent="0.2">
      <c r="A106" s="146"/>
      <c r="B106" s="825"/>
      <c r="C106" s="124" t="s">
        <v>574</v>
      </c>
      <c r="D106" s="826"/>
      <c r="E106" s="356">
        <f>E14*E108*'Suministro de Alimento y O2'!E95*E105/1000</f>
        <v>35.218672717943754</v>
      </c>
      <c r="F106" s="6" t="s">
        <v>583</v>
      </c>
      <c r="G106" s="827">
        <f>E14*G108*'Suministro de Alimento y O2'!E95*G105/1000</f>
        <v>35.218672717943754</v>
      </c>
      <c r="H106" s="571">
        <f t="shared" ref="H106" si="5">G106-E106</f>
        <v>0</v>
      </c>
      <c r="L106" s="56"/>
      <c r="M106" s="56"/>
      <c r="N106" s="56"/>
      <c r="P106" s="46"/>
    </row>
    <row r="107" spans="1:16" ht="15" customHeight="1" x14ac:dyDescent="0.2">
      <c r="A107" s="146"/>
      <c r="B107" s="325"/>
      <c r="C107" s="578" t="s">
        <v>330</v>
      </c>
      <c r="D107" s="6"/>
      <c r="E107" s="324"/>
      <c r="F107" s="22"/>
      <c r="G107" s="47"/>
      <c r="H107" s="61"/>
      <c r="L107" s="56"/>
      <c r="M107" s="56"/>
      <c r="N107" s="56"/>
      <c r="P107" s="46"/>
    </row>
    <row r="108" spans="1:16" ht="15" customHeight="1" x14ac:dyDescent="0.2">
      <c r="A108" s="146"/>
      <c r="B108" s="762" t="s">
        <v>465</v>
      </c>
      <c r="C108" s="444" t="s">
        <v>394</v>
      </c>
      <c r="D108" s="115"/>
      <c r="E108" s="117">
        <v>3.5</v>
      </c>
      <c r="F108" s="717" t="s">
        <v>84</v>
      </c>
      <c r="G108" s="680">
        <v>3.5</v>
      </c>
      <c r="H108" s="571">
        <f t="shared" ref="H108:H123" si="6">G108-E108</f>
        <v>0</v>
      </c>
      <c r="L108" s="56"/>
      <c r="M108" s="56"/>
      <c r="N108" s="56"/>
      <c r="P108" s="46"/>
    </row>
    <row r="109" spans="1:16" ht="15" customHeight="1" x14ac:dyDescent="0.2">
      <c r="A109" s="146"/>
      <c r="B109" s="762" t="s">
        <v>465</v>
      </c>
      <c r="C109" s="435" t="s">
        <v>87</v>
      </c>
      <c r="D109" s="141"/>
      <c r="E109" s="207">
        <v>0.16</v>
      </c>
      <c r="F109" s="142"/>
      <c r="G109" s="662">
        <v>0.16</v>
      </c>
      <c r="H109" s="571">
        <f t="shared" si="6"/>
        <v>0</v>
      </c>
      <c r="L109" s="56"/>
      <c r="M109" s="56"/>
      <c r="N109" s="56"/>
      <c r="P109" s="46"/>
    </row>
    <row r="110" spans="1:16" ht="15" customHeight="1" x14ac:dyDescent="0.2">
      <c r="A110" s="146"/>
      <c r="C110" s="435" t="s">
        <v>119</v>
      </c>
      <c r="D110" s="141"/>
      <c r="E110" s="207">
        <v>0.3</v>
      </c>
      <c r="F110" s="142"/>
      <c r="G110" s="662">
        <v>0.3</v>
      </c>
      <c r="H110" s="571">
        <f t="shared" si="6"/>
        <v>0</v>
      </c>
      <c r="L110" s="56"/>
      <c r="M110" s="56"/>
      <c r="N110" s="56"/>
      <c r="P110" s="46"/>
    </row>
    <row r="111" spans="1:16" ht="15" customHeight="1" x14ac:dyDescent="0.2">
      <c r="A111" s="146"/>
      <c r="B111" s="762" t="s">
        <v>465</v>
      </c>
      <c r="C111" s="437" t="s">
        <v>88</v>
      </c>
      <c r="D111" s="206" t="s">
        <v>118</v>
      </c>
      <c r="E111" s="207">
        <v>0.14000000000000001</v>
      </c>
      <c r="F111" s="142"/>
      <c r="G111" s="662">
        <v>0.14000000000000001</v>
      </c>
      <c r="H111" s="571">
        <f t="shared" si="6"/>
        <v>0</v>
      </c>
      <c r="L111" s="56"/>
      <c r="M111" s="56"/>
      <c r="N111" s="56"/>
      <c r="P111" s="46"/>
    </row>
    <row r="112" spans="1:16" ht="15" customHeight="1" x14ac:dyDescent="0.2">
      <c r="A112" s="146"/>
      <c r="B112" s="764"/>
      <c r="C112" s="718" t="s">
        <v>89</v>
      </c>
      <c r="D112" s="205"/>
      <c r="E112" s="205">
        <f>E111*(1-E109)</f>
        <v>0.11760000000000001</v>
      </c>
      <c r="F112" s="719"/>
      <c r="G112" s="681">
        <f>G111*(1-G109)</f>
        <v>0.11760000000000001</v>
      </c>
      <c r="H112" s="571">
        <f t="shared" si="6"/>
        <v>0</v>
      </c>
      <c r="L112" s="56"/>
      <c r="M112" s="56"/>
      <c r="N112" s="56"/>
      <c r="P112" s="46"/>
    </row>
    <row r="113" spans="1:16" ht="15" customHeight="1" x14ac:dyDescent="0.2">
      <c r="A113" s="146"/>
      <c r="B113" s="765"/>
      <c r="C113" s="564" t="s">
        <v>159</v>
      </c>
      <c r="D113" s="205"/>
      <c r="E113" s="205">
        <f>E110*E109</f>
        <v>4.8000000000000001E-2</v>
      </c>
      <c r="F113" s="719"/>
      <c r="G113" s="681">
        <f>G110*G109</f>
        <v>4.8000000000000001E-2</v>
      </c>
      <c r="H113" s="571">
        <f t="shared" si="6"/>
        <v>0</v>
      </c>
      <c r="L113" s="56"/>
      <c r="M113" s="56"/>
      <c r="N113" s="56"/>
      <c r="P113" s="46"/>
    </row>
    <row r="114" spans="1:16" ht="15" customHeight="1" x14ac:dyDescent="0.2">
      <c r="A114" s="146"/>
      <c r="B114" s="380"/>
      <c r="C114" s="514" t="s">
        <v>111</v>
      </c>
      <c r="D114" s="210"/>
      <c r="E114" s="211">
        <f>E109+E112+E113</f>
        <v>0.3256</v>
      </c>
      <c r="F114" s="365"/>
      <c r="G114" s="681">
        <f>G109+G112+G113</f>
        <v>0.3256</v>
      </c>
      <c r="H114" s="571">
        <f t="shared" si="6"/>
        <v>0</v>
      </c>
      <c r="L114" s="56"/>
      <c r="M114" s="56"/>
      <c r="N114" s="56"/>
      <c r="P114" s="46"/>
    </row>
    <row r="115" spans="1:16" ht="15" customHeight="1" x14ac:dyDescent="0.2">
      <c r="A115" s="146"/>
      <c r="B115" s="766"/>
      <c r="C115" s="720" t="s">
        <v>454</v>
      </c>
      <c r="D115" s="116"/>
      <c r="E115" s="116">
        <f>E112+E113</f>
        <v>0.16560000000000002</v>
      </c>
      <c r="F115" s="721"/>
      <c r="G115" s="681">
        <f>G112+G113</f>
        <v>0.16560000000000002</v>
      </c>
      <c r="H115" s="571">
        <f t="shared" si="6"/>
        <v>0</v>
      </c>
      <c r="L115" s="56"/>
      <c r="M115" s="56"/>
      <c r="N115" s="56"/>
      <c r="P115" s="46"/>
    </row>
    <row r="116" spans="1:16" ht="15" customHeight="1" x14ac:dyDescent="0.2">
      <c r="A116" s="146"/>
      <c r="B116" s="380" t="s">
        <v>285</v>
      </c>
      <c r="C116" s="722" t="s">
        <v>455</v>
      </c>
      <c r="D116" s="523"/>
      <c r="E116" s="240">
        <f>E14*'Suministro de Alimento y O2'!H95</f>
        <v>1675.3645596623928</v>
      </c>
      <c r="F116" s="723" t="s">
        <v>143</v>
      </c>
      <c r="G116" s="665">
        <f>G14*'Suministro de Alimento y O2'!H95</f>
        <v>1675.3645596623928</v>
      </c>
      <c r="H116" s="571">
        <f t="shared" si="6"/>
        <v>0</v>
      </c>
      <c r="L116" s="56"/>
      <c r="M116" s="56"/>
      <c r="N116" s="56"/>
      <c r="P116" s="46"/>
    </row>
    <row r="117" spans="1:16" ht="15" customHeight="1" x14ac:dyDescent="0.2">
      <c r="A117" s="146"/>
      <c r="B117" s="767"/>
      <c r="C117" s="514" t="s">
        <v>456</v>
      </c>
      <c r="D117" s="524"/>
      <c r="E117" s="525">
        <f>E116*(1-E114)</f>
        <v>1129.8658590363177</v>
      </c>
      <c r="F117" s="724" t="s">
        <v>457</v>
      </c>
      <c r="G117" s="665">
        <f>G116*(1-G114)</f>
        <v>1129.8658590363177</v>
      </c>
      <c r="H117" s="571">
        <f t="shared" si="6"/>
        <v>0</v>
      </c>
      <c r="L117" s="56"/>
      <c r="M117" s="56"/>
      <c r="N117" s="56"/>
      <c r="P117" s="46"/>
    </row>
    <row r="118" spans="1:16" ht="15" customHeight="1" x14ac:dyDescent="0.2">
      <c r="A118" s="146"/>
      <c r="B118" s="767"/>
      <c r="C118" s="873" t="s">
        <v>458</v>
      </c>
      <c r="D118" s="526" t="s">
        <v>459</v>
      </c>
      <c r="E118" s="527">
        <f>E109/E114</f>
        <v>0.49140049140049141</v>
      </c>
      <c r="F118" s="719"/>
      <c r="G118" s="682">
        <f>G109/G114</f>
        <v>0.49140049140049141</v>
      </c>
      <c r="H118" s="571">
        <f t="shared" si="6"/>
        <v>0</v>
      </c>
      <c r="L118" s="56"/>
      <c r="M118" s="56"/>
      <c r="N118" s="56"/>
      <c r="P118" s="46"/>
    </row>
    <row r="119" spans="1:16" ht="15" customHeight="1" x14ac:dyDescent="0.2">
      <c r="A119" s="146"/>
      <c r="B119" s="767"/>
      <c r="C119" s="874"/>
      <c r="D119" s="526" t="s">
        <v>460</v>
      </c>
      <c r="E119" s="527">
        <f>E112/E114</f>
        <v>0.36117936117936122</v>
      </c>
      <c r="F119" s="719"/>
      <c r="G119" s="682">
        <f>G112/G114</f>
        <v>0.36117936117936122</v>
      </c>
      <c r="H119" s="571">
        <f t="shared" si="6"/>
        <v>0</v>
      </c>
      <c r="L119" s="56"/>
      <c r="M119" s="56"/>
      <c r="N119" s="56"/>
      <c r="P119" s="46"/>
    </row>
    <row r="120" spans="1:16" ht="15" customHeight="1" x14ac:dyDescent="0.2">
      <c r="A120" s="146"/>
      <c r="B120" s="767"/>
      <c r="C120" s="875"/>
      <c r="D120" s="526" t="s">
        <v>461</v>
      </c>
      <c r="E120" s="527">
        <f>E113/E114</f>
        <v>0.14742014742014742</v>
      </c>
      <c r="F120" s="719"/>
      <c r="G120" s="682">
        <f>G113/G114</f>
        <v>0.14742014742014742</v>
      </c>
      <c r="H120" s="571">
        <f t="shared" si="6"/>
        <v>0</v>
      </c>
      <c r="L120" s="56"/>
      <c r="M120" s="56"/>
      <c r="N120" s="56"/>
      <c r="P120" s="46"/>
    </row>
    <row r="121" spans="1:16" ht="15" customHeight="1" x14ac:dyDescent="0.2">
      <c r="A121" s="146"/>
      <c r="B121" s="380"/>
      <c r="C121" s="459" t="s">
        <v>423</v>
      </c>
      <c r="D121" s="456"/>
      <c r="E121" s="460">
        <f>365*'Suministro de Alimento y O2'!H96/1000</f>
        <v>70.662831600849572</v>
      </c>
      <c r="F121" s="466" t="s">
        <v>158</v>
      </c>
      <c r="G121" s="664">
        <f>365*'Suministro de Alimento y O2'!H96/1000</f>
        <v>70.662831600849572</v>
      </c>
      <c r="H121" s="571">
        <f t="shared" si="6"/>
        <v>0</v>
      </c>
      <c r="L121" s="56"/>
      <c r="M121" s="56"/>
      <c r="N121" s="56"/>
      <c r="P121" s="46"/>
    </row>
    <row r="122" spans="1:16" ht="15" customHeight="1" x14ac:dyDescent="0.2">
      <c r="A122" s="146"/>
      <c r="B122" s="380" t="s">
        <v>285</v>
      </c>
      <c r="C122" s="461" t="s">
        <v>329</v>
      </c>
      <c r="D122" s="462"/>
      <c r="E122" s="463">
        <f>E14*'Suministro de Alimento y O2'!H95</f>
        <v>1675.3645596623928</v>
      </c>
      <c r="F122" s="725" t="s">
        <v>594</v>
      </c>
      <c r="G122" s="665">
        <f>E14*'Suministro de Alimento y O2'!H95</f>
        <v>1675.3645596623928</v>
      </c>
      <c r="H122" s="571">
        <f t="shared" si="6"/>
        <v>0</v>
      </c>
      <c r="L122" s="56"/>
      <c r="M122" s="56"/>
      <c r="N122" s="56"/>
      <c r="P122" s="46"/>
    </row>
    <row r="123" spans="1:16" ht="15" customHeight="1" x14ac:dyDescent="0.2">
      <c r="A123" s="146"/>
      <c r="B123" s="380"/>
      <c r="C123" s="436" t="s">
        <v>348</v>
      </c>
      <c r="D123" s="323"/>
      <c r="E123" s="328">
        <f>E122*(1-E109-E110)</f>
        <v>904.69686221769223</v>
      </c>
      <c r="F123" s="726" t="s">
        <v>594</v>
      </c>
      <c r="G123" s="665">
        <f>G122*(1-G109-G110)</f>
        <v>904.69686221769223</v>
      </c>
      <c r="H123" s="571">
        <f t="shared" si="6"/>
        <v>0</v>
      </c>
      <c r="L123" s="56"/>
      <c r="M123" s="56"/>
      <c r="N123" s="56"/>
      <c r="P123" s="46"/>
    </row>
    <row r="124" spans="1:16" ht="15" customHeight="1" x14ac:dyDescent="0.2">
      <c r="A124" s="146"/>
      <c r="B124" s="380"/>
      <c r="C124" s="436" t="s">
        <v>357</v>
      </c>
      <c r="D124" s="323"/>
      <c r="E124" s="328">
        <f>E122-E123</f>
        <v>770.66769744470059</v>
      </c>
      <c r="F124" s="726" t="s">
        <v>143</v>
      </c>
      <c r="G124" s="685">
        <f>G122-G123</f>
        <v>770.66769744470059</v>
      </c>
      <c r="H124" s="571">
        <f>G124-E124</f>
        <v>0</v>
      </c>
      <c r="L124" s="56"/>
      <c r="M124" s="56"/>
      <c r="N124" s="56"/>
      <c r="P124" s="46"/>
    </row>
    <row r="125" spans="1:16" ht="15" customHeight="1" x14ac:dyDescent="0.2">
      <c r="A125" s="146"/>
      <c r="B125" s="380"/>
      <c r="C125" s="595" t="s">
        <v>370</v>
      </c>
      <c r="D125" s="28"/>
      <c r="E125" s="47"/>
      <c r="F125" s="596"/>
      <c r="G125" s="748"/>
      <c r="H125" s="749"/>
      <c r="L125" s="56"/>
      <c r="M125" s="56"/>
      <c r="N125" s="56"/>
      <c r="P125" s="46"/>
    </row>
    <row r="126" spans="1:16" ht="15" customHeight="1" x14ac:dyDescent="0.2">
      <c r="A126" s="146"/>
      <c r="B126" s="452"/>
      <c r="C126" s="710" t="s">
        <v>232</v>
      </c>
      <c r="F126" s="711"/>
      <c r="G126" s="750"/>
      <c r="H126" s="751"/>
      <c r="P126" s="46"/>
    </row>
    <row r="127" spans="1:16" ht="15" customHeight="1" x14ac:dyDescent="0.2">
      <c r="A127" s="146"/>
      <c r="B127" s="452"/>
      <c r="C127" s="713" t="s">
        <v>95</v>
      </c>
      <c r="D127" s="428"/>
      <c r="E127" s="429">
        <f>2*E108</f>
        <v>7</v>
      </c>
      <c r="F127" s="466" t="s">
        <v>84</v>
      </c>
      <c r="G127" s="665">
        <f>2*G108</f>
        <v>7</v>
      </c>
      <c r="H127" s="571">
        <f t="shared" ref="H127:H164" si="7">G127-E127</f>
        <v>0</v>
      </c>
      <c r="P127" s="46"/>
    </row>
    <row r="128" spans="1:16" ht="15" customHeight="1" x14ac:dyDescent="0.2">
      <c r="A128" s="146"/>
      <c r="B128" s="380" t="s">
        <v>410</v>
      </c>
      <c r="C128" s="435" t="s">
        <v>411</v>
      </c>
      <c r="D128" s="141"/>
      <c r="E128" s="208">
        <v>250</v>
      </c>
      <c r="F128" s="142" t="s">
        <v>91</v>
      </c>
      <c r="G128" s="683">
        <v>250</v>
      </c>
      <c r="H128" s="571">
        <f t="shared" si="7"/>
        <v>0</v>
      </c>
      <c r="P128" s="46"/>
    </row>
    <row r="129" spans="1:16" ht="15" customHeight="1" x14ac:dyDescent="0.2">
      <c r="A129" s="146"/>
      <c r="B129" s="380"/>
      <c r="C129" s="257" t="s">
        <v>92</v>
      </c>
      <c r="D129" s="102"/>
      <c r="E129" s="103">
        <f>E122/E128</f>
        <v>6.7014582386495709</v>
      </c>
      <c r="F129" s="104" t="s">
        <v>70</v>
      </c>
      <c r="G129" s="684">
        <f>G122/G128</f>
        <v>6.7014582386495709</v>
      </c>
      <c r="H129" s="571">
        <f t="shared" si="7"/>
        <v>0</v>
      </c>
      <c r="P129" s="46"/>
    </row>
    <row r="130" spans="1:16" ht="15" customHeight="1" x14ac:dyDescent="0.2">
      <c r="A130" s="146"/>
      <c r="B130" s="380" t="s">
        <v>410</v>
      </c>
      <c r="C130" s="444" t="s">
        <v>93</v>
      </c>
      <c r="D130" s="115"/>
      <c r="E130" s="10">
        <v>3</v>
      </c>
      <c r="F130" s="717" t="s">
        <v>55</v>
      </c>
      <c r="G130" s="666">
        <v>3</v>
      </c>
      <c r="H130" s="571">
        <f t="shared" si="7"/>
        <v>0</v>
      </c>
      <c r="P130" s="46"/>
    </row>
    <row r="131" spans="1:16" ht="15" customHeight="1" x14ac:dyDescent="0.2">
      <c r="A131" s="146"/>
      <c r="B131" s="452"/>
      <c r="C131" s="257" t="s">
        <v>169</v>
      </c>
      <c r="D131" s="126"/>
      <c r="E131" s="373">
        <f>365*E129*E130/(7*0.67)</f>
        <v>1564.626177254004</v>
      </c>
      <c r="F131" s="727" t="s">
        <v>170</v>
      </c>
      <c r="G131" s="685">
        <f>365*G129*G130/(7*0.67)</f>
        <v>1564.626177254004</v>
      </c>
      <c r="H131" s="571">
        <f t="shared" si="7"/>
        <v>0</v>
      </c>
      <c r="P131" s="46"/>
    </row>
    <row r="132" spans="1:16" ht="15" customHeight="1" x14ac:dyDescent="0.2">
      <c r="A132" s="146"/>
      <c r="B132" s="380" t="s">
        <v>410</v>
      </c>
      <c r="C132" s="435" t="s">
        <v>252</v>
      </c>
      <c r="D132" s="141"/>
      <c r="E132" s="492">
        <v>2000</v>
      </c>
      <c r="F132" s="142" t="s">
        <v>91</v>
      </c>
      <c r="G132" s="670">
        <v>2000</v>
      </c>
      <c r="H132" s="571">
        <f t="shared" si="7"/>
        <v>0</v>
      </c>
      <c r="P132" s="46"/>
    </row>
    <row r="133" spans="1:16" ht="15" customHeight="1" x14ac:dyDescent="0.2">
      <c r="A133" s="146"/>
      <c r="B133" s="452"/>
      <c r="C133" s="436" t="s">
        <v>347</v>
      </c>
      <c r="D133" s="126"/>
      <c r="E133" s="127">
        <f>E122/E132</f>
        <v>0.83768227983119636</v>
      </c>
      <c r="F133" s="728" t="s">
        <v>70</v>
      </c>
      <c r="G133" s="686">
        <f>G122/G132</f>
        <v>0.83768227983119636</v>
      </c>
      <c r="H133" s="571">
        <f t="shared" si="7"/>
        <v>0</v>
      </c>
      <c r="P133" s="46"/>
    </row>
    <row r="134" spans="1:16" ht="15" customHeight="1" x14ac:dyDescent="0.2">
      <c r="A134" s="146"/>
      <c r="B134" s="380" t="s">
        <v>410</v>
      </c>
      <c r="C134" s="444" t="s">
        <v>94</v>
      </c>
      <c r="D134" s="115"/>
      <c r="E134" s="10">
        <v>5</v>
      </c>
      <c r="F134" s="717" t="s">
        <v>55</v>
      </c>
      <c r="G134" s="666">
        <v>5</v>
      </c>
      <c r="H134" s="571">
        <f t="shared" si="7"/>
        <v>0</v>
      </c>
      <c r="P134" s="46"/>
    </row>
    <row r="135" spans="1:16" ht="15" customHeight="1" x14ac:dyDescent="0.2">
      <c r="A135" s="146"/>
      <c r="B135" s="452"/>
      <c r="C135" s="436" t="s">
        <v>171</v>
      </c>
      <c r="D135" s="126"/>
      <c r="E135" s="374">
        <f>365*E133*E134/(7*0.67)</f>
        <v>325.96378692791751</v>
      </c>
      <c r="F135" s="728" t="s">
        <v>170</v>
      </c>
      <c r="G135" s="685">
        <f>365*G133*G134/(7*0.67)</f>
        <v>325.96378692791751</v>
      </c>
      <c r="H135" s="571">
        <f t="shared" si="7"/>
        <v>0</v>
      </c>
      <c r="P135" s="46"/>
    </row>
    <row r="136" spans="1:16" ht="15" customHeight="1" x14ac:dyDescent="0.2">
      <c r="A136" s="146"/>
      <c r="B136" s="380" t="s">
        <v>272</v>
      </c>
      <c r="C136" s="435" t="s">
        <v>250</v>
      </c>
      <c r="D136" s="141"/>
      <c r="E136" s="492">
        <v>200</v>
      </c>
      <c r="F136" s="142" t="s">
        <v>31</v>
      </c>
      <c r="G136" s="683">
        <v>200</v>
      </c>
      <c r="H136" s="571">
        <f t="shared" si="7"/>
        <v>0</v>
      </c>
      <c r="P136" s="46"/>
    </row>
    <row r="137" spans="1:16" ht="15" customHeight="1" x14ac:dyDescent="0.2">
      <c r="A137" s="146"/>
      <c r="B137" s="452"/>
      <c r="C137" s="124" t="s">
        <v>251</v>
      </c>
      <c r="D137" s="531"/>
      <c r="E137" s="260">
        <f>E124/E136</f>
        <v>3.8533384872235028</v>
      </c>
      <c r="F137" s="51" t="s">
        <v>115</v>
      </c>
      <c r="G137" s="686">
        <f>G124/G136</f>
        <v>3.8533384872235028</v>
      </c>
      <c r="H137" s="571">
        <f t="shared" si="7"/>
        <v>0</v>
      </c>
      <c r="P137" s="46"/>
    </row>
    <row r="138" spans="1:16" ht="15" customHeight="1" x14ac:dyDescent="0.2">
      <c r="A138" s="146"/>
      <c r="B138" s="148" t="s">
        <v>284</v>
      </c>
      <c r="C138" s="433" t="s">
        <v>463</v>
      </c>
      <c r="D138" s="26"/>
      <c r="E138" s="57">
        <v>4.5</v>
      </c>
      <c r="F138" s="364" t="s">
        <v>2</v>
      </c>
      <c r="G138" s="667">
        <v>4.5</v>
      </c>
      <c r="H138" s="571">
        <f t="shared" si="7"/>
        <v>0</v>
      </c>
      <c r="P138" s="46"/>
    </row>
    <row r="139" spans="1:16" ht="15" customHeight="1" x14ac:dyDescent="0.2">
      <c r="A139" s="146"/>
      <c r="B139" s="148" t="s">
        <v>284</v>
      </c>
      <c r="C139" s="433" t="s">
        <v>441</v>
      </c>
      <c r="D139" s="26"/>
      <c r="E139" s="57">
        <v>1.6</v>
      </c>
      <c r="F139" s="364" t="s">
        <v>2</v>
      </c>
      <c r="G139" s="667">
        <v>1.6</v>
      </c>
      <c r="H139" s="571">
        <f t="shared" si="7"/>
        <v>0</v>
      </c>
      <c r="P139" s="46"/>
    </row>
    <row r="140" spans="1:16" ht="15" customHeight="1" x14ac:dyDescent="0.2">
      <c r="A140" s="146"/>
      <c r="B140" s="148"/>
      <c r="C140" s="182" t="s">
        <v>137</v>
      </c>
      <c r="D140" s="6"/>
      <c r="E140" s="12">
        <f>2* E139+0.12</f>
        <v>3.3200000000000003</v>
      </c>
      <c r="F140" s="51" t="s">
        <v>2</v>
      </c>
      <c r="G140" s="667">
        <f>2* G139+0.12</f>
        <v>3.3200000000000003</v>
      </c>
      <c r="H140" s="571">
        <f t="shared" si="7"/>
        <v>0</v>
      </c>
      <c r="P140" s="46"/>
    </row>
    <row r="141" spans="1:16" ht="15" customHeight="1" x14ac:dyDescent="0.2">
      <c r="A141" s="146"/>
      <c r="B141" s="452"/>
      <c r="C141" s="514" t="s">
        <v>96</v>
      </c>
      <c r="D141" s="212"/>
      <c r="E141" s="213">
        <f>E139*E138</f>
        <v>7.2</v>
      </c>
      <c r="F141" s="365" t="s">
        <v>3</v>
      </c>
      <c r="G141" s="684">
        <f>G139*G138</f>
        <v>7.2</v>
      </c>
      <c r="H141" s="571">
        <f t="shared" si="7"/>
        <v>0</v>
      </c>
      <c r="P141" s="46"/>
    </row>
    <row r="142" spans="1:16" ht="15" customHeight="1" x14ac:dyDescent="0.2">
      <c r="A142" s="146"/>
      <c r="B142" s="325"/>
      <c r="C142" s="257" t="s">
        <v>351</v>
      </c>
      <c r="D142" s="102"/>
      <c r="E142" s="103">
        <f>E137/E141</f>
        <v>0.53518590100326424</v>
      </c>
      <c r="F142" s="104" t="s">
        <v>2</v>
      </c>
      <c r="G142" s="684">
        <f>G137/G141</f>
        <v>0.53518590100326424</v>
      </c>
      <c r="H142" s="571">
        <f t="shared" si="7"/>
        <v>0</v>
      </c>
      <c r="P142" s="46"/>
    </row>
    <row r="143" spans="1:16" ht="15" customHeight="1" x14ac:dyDescent="0.2">
      <c r="A143" s="146"/>
      <c r="B143" s="452" t="s">
        <v>373</v>
      </c>
      <c r="C143" s="442" t="s">
        <v>142</v>
      </c>
      <c r="D143" s="125" t="str">
        <f>IF(E142&gt;E143,"insuficiente","suficiente")</f>
        <v>suficiente</v>
      </c>
      <c r="E143" s="57">
        <v>0.6</v>
      </c>
      <c r="F143" s="364" t="s">
        <v>2</v>
      </c>
      <c r="G143" s="667">
        <v>0.6</v>
      </c>
      <c r="H143" s="571">
        <f t="shared" si="7"/>
        <v>0</v>
      </c>
      <c r="P143" s="46"/>
    </row>
    <row r="144" spans="1:16" ht="15" customHeight="1" x14ac:dyDescent="0.2">
      <c r="A144" s="146"/>
      <c r="B144" s="452"/>
      <c r="C144" s="578" t="s">
        <v>291</v>
      </c>
      <c r="D144" s="214"/>
      <c r="E144" s="214"/>
      <c r="F144" s="61"/>
      <c r="G144" s="47"/>
      <c r="H144" s="61"/>
      <c r="P144" s="46"/>
    </row>
    <row r="145" spans="1:16" ht="15" customHeight="1" x14ac:dyDescent="0.2">
      <c r="A145" s="146"/>
      <c r="B145" s="148" t="s">
        <v>284</v>
      </c>
      <c r="C145" s="433" t="s">
        <v>85</v>
      </c>
      <c r="D145" s="26"/>
      <c r="E145" s="10">
        <v>6</v>
      </c>
      <c r="F145" s="364" t="s">
        <v>7</v>
      </c>
      <c r="G145" s="666">
        <v>6</v>
      </c>
      <c r="H145" s="571">
        <f t="shared" si="7"/>
        <v>0</v>
      </c>
      <c r="P145" s="46"/>
    </row>
    <row r="146" spans="1:16" ht="15" customHeight="1" x14ac:dyDescent="0.2">
      <c r="A146" s="146"/>
      <c r="B146" s="148" t="s">
        <v>284</v>
      </c>
      <c r="C146" s="433" t="s">
        <v>124</v>
      </c>
      <c r="D146" s="26"/>
      <c r="E146" s="10">
        <v>4</v>
      </c>
      <c r="F146" s="364" t="s">
        <v>7</v>
      </c>
      <c r="G146" s="666">
        <v>4</v>
      </c>
      <c r="H146" s="571">
        <f t="shared" si="7"/>
        <v>0</v>
      </c>
      <c r="P146" s="46"/>
    </row>
    <row r="147" spans="1:16" ht="15" customHeight="1" x14ac:dyDescent="0.2">
      <c r="A147" s="146"/>
      <c r="B147" s="452"/>
      <c r="C147" s="182" t="s">
        <v>125</v>
      </c>
      <c r="D147" s="6"/>
      <c r="E147" s="85">
        <f>E145*E146</f>
        <v>24</v>
      </c>
      <c r="F147" s="51" t="s">
        <v>7</v>
      </c>
      <c r="G147" s="666">
        <f>G145*G146</f>
        <v>24</v>
      </c>
      <c r="H147" s="571">
        <f t="shared" si="7"/>
        <v>0</v>
      </c>
      <c r="P147" s="46"/>
    </row>
    <row r="148" spans="1:16" ht="15" customHeight="1" x14ac:dyDescent="0.2">
      <c r="A148" s="146"/>
      <c r="B148" s="452"/>
      <c r="C148" s="515" t="s">
        <v>449</v>
      </c>
      <c r="D148" s="516"/>
      <c r="E148" s="517">
        <f>E138/E145</f>
        <v>0.75</v>
      </c>
      <c r="F148" s="730" t="s">
        <v>2</v>
      </c>
      <c r="G148" s="667">
        <f>G138/G145</f>
        <v>0.75</v>
      </c>
      <c r="H148" s="571">
        <f t="shared" si="7"/>
        <v>0</v>
      </c>
      <c r="P148" s="46"/>
    </row>
    <row r="149" spans="1:16" ht="15" customHeight="1" x14ac:dyDescent="0.2">
      <c r="A149" s="146"/>
      <c r="B149" s="452"/>
      <c r="C149" s="257" t="s">
        <v>450</v>
      </c>
      <c r="D149" s="516"/>
      <c r="E149" s="517">
        <f>E140/E146</f>
        <v>0.83000000000000007</v>
      </c>
      <c r="F149" s="331" t="s">
        <v>2</v>
      </c>
      <c r="G149" s="790">
        <f>G140/G146</f>
        <v>0.83000000000000007</v>
      </c>
      <c r="H149" s="571">
        <f t="shared" si="7"/>
        <v>0</v>
      </c>
      <c r="P149" s="46"/>
    </row>
    <row r="150" spans="1:16" ht="15" customHeight="1" x14ac:dyDescent="0.2">
      <c r="A150" s="146"/>
      <c r="B150" s="452"/>
      <c r="C150" s="257" t="s">
        <v>123</v>
      </c>
      <c r="D150" s="108"/>
      <c r="E150" s="109">
        <f>E197*E147</f>
        <v>5.4353895002544848</v>
      </c>
      <c r="F150" s="101" t="s">
        <v>15</v>
      </c>
      <c r="G150" s="582">
        <f>G197*G147</f>
        <v>5.4353895002544848</v>
      </c>
      <c r="H150" s="571">
        <f t="shared" si="7"/>
        <v>0</v>
      </c>
      <c r="P150" s="46"/>
    </row>
    <row r="151" spans="1:16" ht="15" customHeight="1" x14ac:dyDescent="0.2">
      <c r="A151" s="146"/>
      <c r="B151" s="452" t="s">
        <v>373</v>
      </c>
      <c r="C151" s="124" t="s">
        <v>236</v>
      </c>
      <c r="D151" s="6"/>
      <c r="E151" s="47">
        <v>2</v>
      </c>
      <c r="F151" s="6" t="s">
        <v>7</v>
      </c>
      <c r="G151" s="581">
        <v>2</v>
      </c>
      <c r="H151" s="571">
        <f t="shared" si="7"/>
        <v>0</v>
      </c>
      <c r="P151" s="46"/>
    </row>
    <row r="152" spans="1:16" ht="15" customHeight="1" x14ac:dyDescent="0.2">
      <c r="A152" s="146"/>
      <c r="B152" s="452" t="s">
        <v>373</v>
      </c>
      <c r="C152" s="783" t="s">
        <v>543</v>
      </c>
      <c r="D152" s="797"/>
      <c r="E152" s="798">
        <v>1.3</v>
      </c>
      <c r="F152" s="799" t="s">
        <v>2</v>
      </c>
      <c r="G152" s="590">
        <v>1.3</v>
      </c>
      <c r="H152" s="571">
        <f>G152-E152</f>
        <v>0</v>
      </c>
      <c r="P152" s="46"/>
    </row>
    <row r="153" spans="1:16" ht="15" customHeight="1" x14ac:dyDescent="0.2">
      <c r="A153" s="146"/>
      <c r="B153" s="452"/>
      <c r="C153" s="439" t="s">
        <v>540</v>
      </c>
      <c r="D153" s="118"/>
      <c r="E153" s="304">
        <f>'Tuberías Varias'!E27</f>
        <v>2.470033196816054</v>
      </c>
      <c r="F153" s="791" t="s">
        <v>2</v>
      </c>
      <c r="G153" s="590">
        <f>'Tuberías Varias'!G27</f>
        <v>2.4700345927113441</v>
      </c>
      <c r="H153" s="571">
        <f>G153-E153</f>
        <v>1.3958952900239296E-6</v>
      </c>
      <c r="P153" s="46"/>
    </row>
    <row r="154" spans="1:16" ht="15" customHeight="1" x14ac:dyDescent="0.2">
      <c r="A154" s="146"/>
      <c r="B154" s="763"/>
      <c r="C154" s="784" t="s">
        <v>546</v>
      </c>
      <c r="D154" s="805" t="s">
        <v>544</v>
      </c>
      <c r="E154" s="109">
        <f>E153+E152</f>
        <v>3.7700331968160539</v>
      </c>
      <c r="F154" s="101" t="s">
        <v>2</v>
      </c>
      <c r="G154" s="756">
        <f>G153+G152</f>
        <v>3.7700345927113439</v>
      </c>
      <c r="H154" s="571">
        <f>G154-E154</f>
        <v>1.3958952900239296E-6</v>
      </c>
      <c r="P154" s="46"/>
    </row>
    <row r="155" spans="1:16" ht="15" customHeight="1" x14ac:dyDescent="0.2">
      <c r="A155" s="146"/>
      <c r="B155" s="771" t="s">
        <v>547</v>
      </c>
      <c r="C155" s="439" t="s">
        <v>545</v>
      </c>
      <c r="D155" s="118"/>
      <c r="E155" s="304">
        <f>E157^2/19.6</f>
        <v>3.7699102849790771</v>
      </c>
      <c r="F155" s="791" t="s">
        <v>2</v>
      </c>
      <c r="G155" s="590">
        <f>G157^2/19.6</f>
        <v>3.7699708545047246</v>
      </c>
      <c r="H155" s="571">
        <f t="shared" ref="H155:H158" si="8">G155-E155</f>
        <v>6.0569525647480305E-5</v>
      </c>
      <c r="P155" s="46"/>
    </row>
    <row r="156" spans="1:16" ht="15" customHeight="1" x14ac:dyDescent="0.2">
      <c r="A156" s="146"/>
      <c r="B156" s="148" t="s">
        <v>255</v>
      </c>
      <c r="C156" s="124" t="s">
        <v>262</v>
      </c>
      <c r="D156" s="6"/>
      <c r="E156" s="64">
        <v>1.3864396983167553</v>
      </c>
      <c r="F156" s="824" t="s">
        <v>15</v>
      </c>
      <c r="G156" s="590">
        <v>1.3864508359369134</v>
      </c>
      <c r="H156" s="571">
        <f>G156-E156</f>
        <v>1.1137620158141459E-5</v>
      </c>
      <c r="P156" s="46"/>
    </row>
    <row r="157" spans="1:16" ht="15" customHeight="1" x14ac:dyDescent="0.2">
      <c r="A157" s="146"/>
      <c r="B157" s="148"/>
      <c r="C157" s="439" t="s">
        <v>541</v>
      </c>
      <c r="D157" s="118"/>
      <c r="E157" s="304">
        <f>1000*0.5*E156/'Parrilla de Aireación'!E15</f>
        <v>8.5959433214505268</v>
      </c>
      <c r="F157" s="791" t="s">
        <v>4</v>
      </c>
      <c r="G157" s="590">
        <f>1000*0.5*G156/'Parrilla de Aireación'!G15</f>
        <v>8.596012374833613</v>
      </c>
      <c r="H157" s="571">
        <f t="shared" si="8"/>
        <v>6.9053383086270514E-5</v>
      </c>
      <c r="P157" s="46"/>
    </row>
    <row r="158" spans="1:16" ht="15" customHeight="1" x14ac:dyDescent="0.2">
      <c r="A158" s="146"/>
      <c r="B158" s="452"/>
      <c r="C158" s="731" t="s">
        <v>542</v>
      </c>
      <c r="D158" s="530"/>
      <c r="E158" s="803">
        <f>E150+E156</f>
        <v>6.8218291985712405</v>
      </c>
      <c r="F158" s="729" t="s">
        <v>15</v>
      </c>
      <c r="G158" s="590">
        <f>G150+G156</f>
        <v>6.8218403361913982</v>
      </c>
      <c r="H158" s="571">
        <f t="shared" si="8"/>
        <v>1.113762015769737E-5</v>
      </c>
      <c r="P158" s="46"/>
    </row>
    <row r="159" spans="1:16" ht="15" customHeight="1" x14ac:dyDescent="0.2">
      <c r="A159" s="146"/>
      <c r="B159" s="452"/>
      <c r="C159" s="800" t="s">
        <v>149</v>
      </c>
      <c r="D159" s="801"/>
      <c r="E159" s="802">
        <f>E154+E152</f>
        <v>5.0700331968160537</v>
      </c>
      <c r="F159" s="801" t="s">
        <v>2</v>
      </c>
      <c r="G159" s="582">
        <f>G154+G152</f>
        <v>5.0700345927113437</v>
      </c>
      <c r="H159" s="571">
        <f>G159-E159</f>
        <v>1.3958952900239296E-6</v>
      </c>
      <c r="P159" s="46"/>
    </row>
    <row r="160" spans="1:16" ht="15" customHeight="1" x14ac:dyDescent="0.2">
      <c r="A160" s="146"/>
      <c r="B160" s="452" t="s">
        <v>53</v>
      </c>
      <c r="C160" s="732" t="s">
        <v>52</v>
      </c>
      <c r="D160" s="493"/>
      <c r="E160" s="207">
        <v>0.6</v>
      </c>
      <c r="F160" s="714"/>
      <c r="G160" s="662">
        <v>0.6</v>
      </c>
      <c r="H160" s="571">
        <f t="shared" si="7"/>
        <v>0</v>
      </c>
      <c r="P160" s="46"/>
    </row>
    <row r="161" spans="1:16" ht="15" customHeight="1" x14ac:dyDescent="0.2">
      <c r="A161" s="146"/>
      <c r="B161" s="452"/>
      <c r="C161" s="495" t="s">
        <v>54</v>
      </c>
      <c r="D161" s="496"/>
      <c r="E161" s="795">
        <f>9.81*0.001*E158*E159/E160</f>
        <v>0.56549582317116187</v>
      </c>
      <c r="F161" s="733" t="s">
        <v>19</v>
      </c>
      <c r="G161" s="804">
        <f>9.81*0.001*G158*G159/G160</f>
        <v>0.56549690211875903</v>
      </c>
      <c r="H161" s="571">
        <f t="shared" si="7"/>
        <v>1.0789475971550999E-6</v>
      </c>
      <c r="P161" s="46"/>
    </row>
    <row r="162" spans="1:16" ht="15" customHeight="1" x14ac:dyDescent="0.2">
      <c r="A162" s="146"/>
      <c r="B162" s="452"/>
      <c r="C162" s="497"/>
      <c r="D162" s="498"/>
      <c r="E162" s="807">
        <f>E161/0.746</f>
        <v>0.75803729647608831</v>
      </c>
      <c r="F162" s="734" t="s">
        <v>55</v>
      </c>
      <c r="G162" s="804">
        <f>G161/0.746</f>
        <v>0.75803874278654026</v>
      </c>
      <c r="H162" s="571">
        <f t="shared" si="7"/>
        <v>1.4463104519579773E-6</v>
      </c>
      <c r="P162" s="46"/>
    </row>
    <row r="163" spans="1:16" ht="15" customHeight="1" x14ac:dyDescent="0.2">
      <c r="A163" s="146"/>
      <c r="B163" s="148" t="s">
        <v>284</v>
      </c>
      <c r="C163" s="528" t="s">
        <v>261</v>
      </c>
      <c r="D163" s="529"/>
      <c r="E163" s="806">
        <v>0.6</v>
      </c>
      <c r="F163" s="735"/>
      <c r="G163" s="662">
        <v>0.6</v>
      </c>
      <c r="H163" s="571">
        <f t="shared" si="7"/>
        <v>0</v>
      </c>
      <c r="P163" s="46"/>
    </row>
    <row r="164" spans="1:16" ht="15" customHeight="1" x14ac:dyDescent="0.2">
      <c r="A164" s="146"/>
      <c r="B164" s="452"/>
      <c r="C164" s="257" t="s">
        <v>534</v>
      </c>
      <c r="D164" s="108"/>
      <c r="E164" s="240">
        <f>E163*E161*24*364</f>
        <v>2964.1029067339614</v>
      </c>
      <c r="F164" s="104" t="s">
        <v>80</v>
      </c>
      <c r="G164" s="665">
        <f>G163*G161*24*364</f>
        <v>2964.1085621456868</v>
      </c>
      <c r="H164" s="571">
        <f t="shared" si="7"/>
        <v>5.6554117254563607E-3</v>
      </c>
      <c r="P164" s="46"/>
    </row>
    <row r="165" spans="1:16" ht="15" customHeight="1" x14ac:dyDescent="0.2">
      <c r="A165" s="146"/>
      <c r="B165" s="452"/>
      <c r="C165" s="595" t="s">
        <v>448</v>
      </c>
      <c r="D165" s="511"/>
      <c r="E165" s="47"/>
      <c r="F165" s="61"/>
      <c r="G165" s="748"/>
      <c r="H165" s="749"/>
      <c r="P165" s="46"/>
    </row>
    <row r="166" spans="1:16" ht="15" customHeight="1" x14ac:dyDescent="0.2">
      <c r="A166" s="146"/>
      <c r="C166" s="472" t="s">
        <v>442</v>
      </c>
      <c r="D166" s="58"/>
      <c r="E166" s="47"/>
      <c r="F166" s="61"/>
      <c r="G166" s="750"/>
      <c r="H166" s="751"/>
      <c r="P166" s="46"/>
    </row>
    <row r="167" spans="1:16" ht="15" customHeight="1" x14ac:dyDescent="0.2">
      <c r="A167" s="146"/>
      <c r="B167" s="452"/>
      <c r="C167" s="713" t="s">
        <v>359</v>
      </c>
      <c r="D167" s="464"/>
      <c r="E167" s="465">
        <f>E14*'Suministro de Alimento y O2'!I95</f>
        <v>893.1965060793658</v>
      </c>
      <c r="F167" s="466" t="s">
        <v>143</v>
      </c>
      <c r="G167" s="687">
        <f>G14*'Suministro de Alimento y O2'!I95</f>
        <v>893.1965060793658</v>
      </c>
      <c r="H167" s="571">
        <f t="shared" ref="H167:H181" si="9">G167-E167</f>
        <v>0</v>
      </c>
      <c r="P167" s="46"/>
    </row>
    <row r="168" spans="1:16" ht="15" customHeight="1" x14ac:dyDescent="0.2">
      <c r="A168" s="146"/>
      <c r="B168" s="380" t="s">
        <v>360</v>
      </c>
      <c r="C168" s="786" t="s">
        <v>451</v>
      </c>
      <c r="D168" s="787"/>
      <c r="E168" s="788">
        <v>600</v>
      </c>
      <c r="F168" s="789" t="s">
        <v>31</v>
      </c>
      <c r="G168" s="665">
        <v>600</v>
      </c>
      <c r="H168" s="571">
        <f t="shared" si="9"/>
        <v>0</v>
      </c>
      <c r="P168" s="46"/>
    </row>
    <row r="169" spans="1:16" ht="15" customHeight="1" x14ac:dyDescent="0.2">
      <c r="A169" s="146"/>
      <c r="B169" s="380"/>
      <c r="C169" s="124" t="s">
        <v>452</v>
      </c>
      <c r="D169" s="214"/>
      <c r="E169" s="214">
        <f>E136/E168</f>
        <v>0.33333333333333331</v>
      </c>
      <c r="F169" s="61"/>
      <c r="G169" s="681">
        <f>G136/G168</f>
        <v>0.33333333333333331</v>
      </c>
      <c r="H169" s="571">
        <f t="shared" si="9"/>
        <v>0</v>
      </c>
      <c r="P169" s="46"/>
    </row>
    <row r="170" spans="1:16" ht="15" customHeight="1" x14ac:dyDescent="0.2">
      <c r="A170" s="146"/>
      <c r="B170" s="380"/>
      <c r="C170" s="124" t="s">
        <v>462</v>
      </c>
      <c r="D170" s="214"/>
      <c r="E170" s="520">
        <f>(E118+E120*E169)/(E118+E120)</f>
        <v>0.84615384615384626</v>
      </c>
      <c r="F170" s="61"/>
      <c r="G170" s="688">
        <f>(G118+G120*G169)/(G118+G120)</f>
        <v>0.84615384615384626</v>
      </c>
      <c r="H170" s="571">
        <f t="shared" si="9"/>
        <v>0</v>
      </c>
      <c r="P170" s="46"/>
    </row>
    <row r="171" spans="1:16" ht="15" customHeight="1" x14ac:dyDescent="0.2">
      <c r="A171" s="146"/>
      <c r="B171" s="380"/>
      <c r="C171" s="257" t="s">
        <v>453</v>
      </c>
      <c r="D171" s="521"/>
      <c r="E171" s="522">
        <f>E136/E170</f>
        <v>236.36363636363635</v>
      </c>
      <c r="F171" s="104" t="s">
        <v>31</v>
      </c>
      <c r="G171" s="689">
        <f>G136/G170</f>
        <v>236.36363636363635</v>
      </c>
      <c r="H171" s="571">
        <f t="shared" si="9"/>
        <v>0</v>
      </c>
      <c r="P171" s="46"/>
    </row>
    <row r="172" spans="1:16" ht="15" customHeight="1" x14ac:dyDescent="0.2">
      <c r="A172" s="146"/>
      <c r="B172" s="380"/>
      <c r="C172" s="257" t="s">
        <v>358</v>
      </c>
      <c r="D172" s="102"/>
      <c r="E172" s="103">
        <f>E167/E171</f>
        <v>3.7789082949511634</v>
      </c>
      <c r="F172" s="104" t="s">
        <v>115</v>
      </c>
      <c r="G172" s="684">
        <f>G167/G171</f>
        <v>3.7789082949511634</v>
      </c>
      <c r="H172" s="571">
        <f t="shared" si="9"/>
        <v>0</v>
      </c>
      <c r="P172" s="46"/>
    </row>
    <row r="173" spans="1:16" ht="15" customHeight="1" x14ac:dyDescent="0.2">
      <c r="A173" s="146"/>
      <c r="B173" s="452" t="s">
        <v>235</v>
      </c>
      <c r="C173" s="435" t="s">
        <v>168</v>
      </c>
      <c r="D173" s="141"/>
      <c r="E173" s="519">
        <f>8.07/15.17</f>
        <v>0.53197099538562953</v>
      </c>
      <c r="F173" s="142"/>
      <c r="G173" s="663">
        <f>8.07/15.17</f>
        <v>0.53197099538562953</v>
      </c>
      <c r="H173" s="571">
        <f t="shared" si="9"/>
        <v>0</v>
      </c>
      <c r="P173" s="46"/>
    </row>
    <row r="174" spans="1:16" ht="15" customHeight="1" x14ac:dyDescent="0.2">
      <c r="A174" s="146"/>
      <c r="B174" s="16" t="s">
        <v>167</v>
      </c>
      <c r="C174" s="438" t="s">
        <v>166</v>
      </c>
      <c r="D174" s="116"/>
      <c r="E174" s="116">
        <f>E109+E114*E173</f>
        <v>0.33320975609756098</v>
      </c>
      <c r="F174" s="518"/>
      <c r="G174" s="681">
        <f>G109+G114*G173</f>
        <v>0.33320975609756098</v>
      </c>
      <c r="H174" s="571">
        <f t="shared" si="9"/>
        <v>0</v>
      </c>
      <c r="P174" s="46"/>
    </row>
    <row r="175" spans="1:16" ht="15" customHeight="1" x14ac:dyDescent="0.2">
      <c r="A175" s="146"/>
      <c r="B175" s="380" t="s">
        <v>360</v>
      </c>
      <c r="C175" s="732" t="s">
        <v>172</v>
      </c>
      <c r="D175" s="493"/>
      <c r="E175" s="207">
        <v>0.6</v>
      </c>
      <c r="F175" s="714"/>
      <c r="G175" s="662">
        <v>0.6</v>
      </c>
      <c r="H175" s="571">
        <f t="shared" si="9"/>
        <v>0</v>
      </c>
      <c r="P175" s="46"/>
    </row>
    <row r="176" spans="1:16" ht="15" customHeight="1" x14ac:dyDescent="0.2">
      <c r="A176" s="146"/>
      <c r="B176" s="452"/>
      <c r="C176" s="124" t="s">
        <v>165</v>
      </c>
      <c r="D176" s="214"/>
      <c r="E176" s="214">
        <f>(1+E175)*E174</f>
        <v>0.53313560975609764</v>
      </c>
      <c r="F176" s="61"/>
      <c r="G176" s="681">
        <f>(1+G175)*G174</f>
        <v>0.53313560975609764</v>
      </c>
      <c r="H176" s="571">
        <f t="shared" si="9"/>
        <v>0</v>
      </c>
      <c r="P176" s="46"/>
    </row>
    <row r="177" spans="1:16" ht="15" customHeight="1" x14ac:dyDescent="0.2">
      <c r="A177" s="146"/>
      <c r="B177" s="148" t="s">
        <v>284</v>
      </c>
      <c r="C177" s="288" t="s">
        <v>443</v>
      </c>
      <c r="D177" s="482"/>
      <c r="E177" s="512">
        <v>4</v>
      </c>
      <c r="F177" s="513" t="s">
        <v>2</v>
      </c>
      <c r="G177" s="667">
        <v>4</v>
      </c>
      <c r="H177" s="571">
        <f t="shared" si="9"/>
        <v>0</v>
      </c>
      <c r="P177" s="46"/>
    </row>
    <row r="178" spans="1:16" ht="15" customHeight="1" x14ac:dyDescent="0.2">
      <c r="A178" s="146"/>
      <c r="C178" s="182" t="s">
        <v>444</v>
      </c>
      <c r="D178" s="6"/>
      <c r="E178" s="12">
        <f>E140</f>
        <v>3.3200000000000003</v>
      </c>
      <c r="F178" s="51" t="s">
        <v>2</v>
      </c>
      <c r="G178" s="667">
        <f>G140</f>
        <v>3.3200000000000003</v>
      </c>
      <c r="H178" s="571">
        <f t="shared" si="9"/>
        <v>0</v>
      </c>
      <c r="P178" s="46"/>
    </row>
    <row r="179" spans="1:16" ht="15" customHeight="1" x14ac:dyDescent="0.2">
      <c r="A179" s="146"/>
      <c r="B179" s="768"/>
      <c r="C179" s="514" t="s">
        <v>445</v>
      </c>
      <c r="D179" s="212"/>
      <c r="E179" s="213">
        <f>E177*E178</f>
        <v>13.280000000000001</v>
      </c>
      <c r="F179" s="365" t="s">
        <v>3</v>
      </c>
      <c r="G179" s="684">
        <f>G177*G178</f>
        <v>13.280000000000001</v>
      </c>
      <c r="H179" s="571">
        <f t="shared" si="9"/>
        <v>0</v>
      </c>
      <c r="P179" s="46"/>
    </row>
    <row r="180" spans="1:16" ht="15" customHeight="1" x14ac:dyDescent="0.2">
      <c r="A180" s="146"/>
      <c r="B180" s="769"/>
      <c r="C180" s="257" t="s">
        <v>446</v>
      </c>
      <c r="D180" s="102"/>
      <c r="E180" s="103">
        <f>E172/E179</f>
        <v>0.28455634751138276</v>
      </c>
      <c r="F180" s="104" t="s">
        <v>2</v>
      </c>
      <c r="G180" s="684">
        <f>G172/G179</f>
        <v>0.28455634751138276</v>
      </c>
      <c r="H180" s="571">
        <f t="shared" si="9"/>
        <v>0</v>
      </c>
      <c r="P180" s="46"/>
    </row>
    <row r="181" spans="1:16" ht="15" customHeight="1" x14ac:dyDescent="0.2">
      <c r="A181" s="146"/>
      <c r="B181" s="452" t="s">
        <v>373</v>
      </c>
      <c r="C181" s="442" t="s">
        <v>447</v>
      </c>
      <c r="D181" s="125" t="str">
        <f>IF(E180&gt;E181,"insuficiente","suficiente")</f>
        <v>suficiente</v>
      </c>
      <c r="E181" s="57">
        <v>0.3</v>
      </c>
      <c r="F181" s="364" t="s">
        <v>2</v>
      </c>
      <c r="G181" s="667">
        <v>0.3</v>
      </c>
      <c r="H181" s="571">
        <f t="shared" si="9"/>
        <v>0</v>
      </c>
      <c r="P181" s="46"/>
    </row>
    <row r="182" spans="1:16" ht="15" customHeight="1" x14ac:dyDescent="0.2">
      <c r="A182" s="146"/>
      <c r="B182" s="770"/>
      <c r="C182" s="472" t="s">
        <v>429</v>
      </c>
      <c r="D182" s="58"/>
      <c r="E182" s="47"/>
      <c r="F182" s="61"/>
      <c r="G182" s="47"/>
      <c r="H182" s="61"/>
      <c r="L182" s="55"/>
      <c r="P182" s="46"/>
    </row>
    <row r="183" spans="1:16" ht="15" customHeight="1" x14ac:dyDescent="0.2">
      <c r="A183" s="146"/>
      <c r="B183" s="148" t="s">
        <v>284</v>
      </c>
      <c r="C183" s="288" t="s">
        <v>85</v>
      </c>
      <c r="D183" s="482"/>
      <c r="E183" s="500">
        <v>5</v>
      </c>
      <c r="F183" s="513" t="s">
        <v>7</v>
      </c>
      <c r="G183" s="666">
        <v>5</v>
      </c>
      <c r="H183" s="571">
        <f t="shared" ref="H183:H208" si="10">G183-E183</f>
        <v>0</v>
      </c>
      <c r="L183" s="55"/>
      <c r="P183" s="46"/>
    </row>
    <row r="184" spans="1:16" ht="15" customHeight="1" x14ac:dyDescent="0.2">
      <c r="A184" s="146"/>
      <c r="B184" s="148" t="s">
        <v>284</v>
      </c>
      <c r="C184" s="288" t="s">
        <v>124</v>
      </c>
      <c r="D184" s="482"/>
      <c r="E184" s="500">
        <v>5</v>
      </c>
      <c r="F184" s="513" t="s">
        <v>7</v>
      </c>
      <c r="G184" s="666">
        <v>5</v>
      </c>
      <c r="H184" s="571">
        <f t="shared" si="10"/>
        <v>0</v>
      </c>
      <c r="L184" s="55"/>
      <c r="P184" s="46"/>
    </row>
    <row r="185" spans="1:16" ht="15" customHeight="1" x14ac:dyDescent="0.2">
      <c r="A185" s="146"/>
      <c r="B185" s="770"/>
      <c r="C185" s="182" t="s">
        <v>125</v>
      </c>
      <c r="D185" s="6"/>
      <c r="E185" s="85">
        <f>E183*E184</f>
        <v>25</v>
      </c>
      <c r="F185" s="51" t="s">
        <v>7</v>
      </c>
      <c r="G185" s="666">
        <f>G183*G184</f>
        <v>25</v>
      </c>
      <c r="H185" s="571">
        <f t="shared" si="10"/>
        <v>0</v>
      </c>
      <c r="L185" s="55"/>
      <c r="P185" s="46"/>
    </row>
    <row r="186" spans="1:16" ht="15" customHeight="1" x14ac:dyDescent="0.2">
      <c r="A186" s="146"/>
      <c r="B186" s="452"/>
      <c r="C186" s="515" t="s">
        <v>449</v>
      </c>
      <c r="D186" s="516"/>
      <c r="E186" s="517">
        <f>E177/E183</f>
        <v>0.8</v>
      </c>
      <c r="F186" s="730" t="s">
        <v>2</v>
      </c>
      <c r="G186" s="667">
        <f>G177/G183</f>
        <v>0.8</v>
      </c>
      <c r="H186" s="571">
        <f t="shared" si="10"/>
        <v>0</v>
      </c>
      <c r="L186" s="55"/>
      <c r="P186" s="46"/>
    </row>
    <row r="187" spans="1:16" ht="15" customHeight="1" x14ac:dyDescent="0.2">
      <c r="A187" s="146"/>
      <c r="B187" s="452"/>
      <c r="C187" s="257" t="s">
        <v>450</v>
      </c>
      <c r="D187" s="516"/>
      <c r="E187" s="517">
        <f>E178/E184</f>
        <v>0.66400000000000003</v>
      </c>
      <c r="F187" s="730" t="s">
        <v>2</v>
      </c>
      <c r="G187" s="667">
        <f>G178/G184</f>
        <v>0.66400000000000003</v>
      </c>
      <c r="H187" s="571">
        <f t="shared" si="10"/>
        <v>0</v>
      </c>
      <c r="L187" s="55"/>
      <c r="P187" s="46"/>
    </row>
    <row r="188" spans="1:16" ht="15" customHeight="1" x14ac:dyDescent="0.2">
      <c r="A188" s="146"/>
      <c r="B188" s="452"/>
      <c r="C188" s="736" t="s">
        <v>13</v>
      </c>
      <c r="D188" s="507" t="s">
        <v>14</v>
      </c>
      <c r="E188" s="508">
        <v>0.57999999999999996</v>
      </c>
      <c r="F188" s="737"/>
      <c r="G188" s="690">
        <v>0.57999999999999996</v>
      </c>
      <c r="H188" s="571">
        <f t="shared" si="10"/>
        <v>0</v>
      </c>
      <c r="L188" s="55"/>
      <c r="P188" s="46"/>
    </row>
    <row r="189" spans="1:16" ht="15" customHeight="1" x14ac:dyDescent="0.2">
      <c r="A189" s="146"/>
      <c r="B189" s="452" t="s">
        <v>373</v>
      </c>
      <c r="C189" s="288" t="s">
        <v>253</v>
      </c>
      <c r="D189" s="509"/>
      <c r="E189" s="244">
        <v>0.98</v>
      </c>
      <c r="F189" s="292" t="s">
        <v>2</v>
      </c>
      <c r="G189" s="691">
        <v>0.98</v>
      </c>
      <c r="H189" s="571">
        <f t="shared" si="10"/>
        <v>0</v>
      </c>
      <c r="L189" s="55"/>
      <c r="P189" s="46"/>
    </row>
    <row r="190" spans="1:16" ht="15" customHeight="1" x14ac:dyDescent="0.2">
      <c r="A190" s="146"/>
      <c r="B190" s="452"/>
      <c r="C190" s="124" t="s">
        <v>126</v>
      </c>
      <c r="D190" s="28"/>
      <c r="E190" s="237">
        <f>E189-E196</f>
        <v>0.48214847867035343</v>
      </c>
      <c r="F190" s="185" t="s">
        <v>2</v>
      </c>
      <c r="G190" s="237">
        <f>G189-G196</f>
        <v>0.48214847867035343</v>
      </c>
      <c r="H190" s="571">
        <f t="shared" si="10"/>
        <v>0</v>
      </c>
      <c r="L190" s="55"/>
      <c r="P190" s="46"/>
    </row>
    <row r="191" spans="1:16" ht="15" customHeight="1" x14ac:dyDescent="0.2">
      <c r="A191" s="146"/>
      <c r="B191" s="452" t="s">
        <v>464</v>
      </c>
      <c r="C191" s="738" t="s">
        <v>8</v>
      </c>
      <c r="D191" s="781" t="s">
        <v>42</v>
      </c>
      <c r="E191" s="510">
        <f>25.4/2</f>
        <v>12.7</v>
      </c>
      <c r="F191" s="739" t="s">
        <v>9</v>
      </c>
      <c r="G191" s="692">
        <f>25.4/2</f>
        <v>12.7</v>
      </c>
      <c r="H191" s="571">
        <f t="shared" si="10"/>
        <v>0</v>
      </c>
      <c r="L191" s="55"/>
      <c r="P191" s="46"/>
    </row>
    <row r="192" spans="1:16" ht="15" customHeight="1" x14ac:dyDescent="0.2">
      <c r="A192" s="146"/>
      <c r="B192" s="452" t="s">
        <v>464</v>
      </c>
      <c r="C192" s="738" t="s">
        <v>122</v>
      </c>
      <c r="D192" s="781" t="s">
        <v>523</v>
      </c>
      <c r="E192" s="510">
        <f>25.4/8</f>
        <v>3.1749999999999998</v>
      </c>
      <c r="F192" s="739" t="s">
        <v>9</v>
      </c>
      <c r="G192" s="692">
        <f>25.4/8</f>
        <v>3.1749999999999998</v>
      </c>
      <c r="H192" s="571">
        <f t="shared" si="10"/>
        <v>0</v>
      </c>
      <c r="L192" s="55"/>
      <c r="P192" s="46"/>
    </row>
    <row r="193" spans="1:16" ht="15" customHeight="1" x14ac:dyDescent="0.2">
      <c r="A193" s="146"/>
      <c r="B193" s="148"/>
      <c r="C193" s="182" t="s">
        <v>10</v>
      </c>
      <c r="D193" s="6"/>
      <c r="E193" s="12">
        <f>0.25*3.14*(E191^2-E192^2)</f>
        <v>118.699359375</v>
      </c>
      <c r="F193" s="51" t="s">
        <v>11</v>
      </c>
      <c r="G193" s="667">
        <f>0.25*3.14*(G191^2-G192^2)</f>
        <v>118.699359375</v>
      </c>
      <c r="H193" s="571">
        <f t="shared" si="10"/>
        <v>0</v>
      </c>
      <c r="L193" s="55"/>
      <c r="P193" s="46"/>
    </row>
    <row r="194" spans="1:16" ht="15" customHeight="1" x14ac:dyDescent="0.2">
      <c r="A194" s="146"/>
      <c r="B194" s="148"/>
      <c r="C194" s="124" t="s">
        <v>63</v>
      </c>
      <c r="D194" s="28"/>
      <c r="E194" s="12">
        <f>0.001*E197/(E188*E193/1000000)</f>
        <v>3.2895997560136085</v>
      </c>
      <c r="F194" s="61" t="s">
        <v>4</v>
      </c>
      <c r="G194" s="667">
        <f>0.001*G197/(G188*G193/1000000)</f>
        <v>3.2895997560136085</v>
      </c>
      <c r="H194" s="571">
        <f t="shared" si="10"/>
        <v>0</v>
      </c>
      <c r="L194" s="55"/>
      <c r="P194" s="46"/>
    </row>
    <row r="195" spans="1:16" ht="15" customHeight="1" x14ac:dyDescent="0.2">
      <c r="A195" s="146"/>
      <c r="B195" s="148"/>
      <c r="C195" s="124" t="s">
        <v>126</v>
      </c>
      <c r="D195" s="28"/>
      <c r="E195" s="237">
        <f>E194^2/19.6</f>
        <v>0.55211564054922413</v>
      </c>
      <c r="F195" s="185" t="s">
        <v>2</v>
      </c>
      <c r="G195" s="691">
        <f>G194^2/19.6</f>
        <v>0.55211564054922413</v>
      </c>
      <c r="H195" s="571">
        <f t="shared" si="10"/>
        <v>0</v>
      </c>
      <c r="L195" s="55"/>
      <c r="P195" s="46"/>
    </row>
    <row r="196" spans="1:16" ht="15" customHeight="1" x14ac:dyDescent="0.2">
      <c r="A196" s="146"/>
      <c r="B196" s="452" t="s">
        <v>428</v>
      </c>
      <c r="C196" s="124" t="s">
        <v>116</v>
      </c>
      <c r="D196" s="28"/>
      <c r="E196" s="237">
        <f>'Tubería hacia Filtro'!E3</f>
        <v>0.49785152132964655</v>
      </c>
      <c r="F196" s="185" t="s">
        <v>2</v>
      </c>
      <c r="G196" s="237">
        <f>'Tubería hacia Filtro'!G3</f>
        <v>0.49785152132964655</v>
      </c>
      <c r="H196" s="571">
        <f t="shared" si="10"/>
        <v>0</v>
      </c>
      <c r="L196" s="55"/>
      <c r="P196" s="46"/>
    </row>
    <row r="197" spans="1:16" ht="15" customHeight="1" x14ac:dyDescent="0.2">
      <c r="A197" s="146"/>
      <c r="B197" s="148" t="s">
        <v>255</v>
      </c>
      <c r="C197" s="436" t="s">
        <v>127</v>
      </c>
      <c r="D197" s="499" t="str">
        <f>IF(ABS(E199-1.05)&gt;0.005,"Aplicar Función Objetivo"," ")</f>
        <v xml:space="preserve"> </v>
      </c>
      <c r="E197" s="113">
        <v>0.22647456251060352</v>
      </c>
      <c r="F197" s="706" t="s">
        <v>15</v>
      </c>
      <c r="G197" s="676">
        <v>0.22647456251060352</v>
      </c>
      <c r="H197" s="571">
        <f t="shared" si="10"/>
        <v>0</v>
      </c>
      <c r="L197" s="55"/>
      <c r="P197" s="46"/>
    </row>
    <row r="198" spans="1:16" ht="15" customHeight="1" x14ac:dyDescent="0.2">
      <c r="A198" s="146"/>
      <c r="B198" s="452" t="s">
        <v>373</v>
      </c>
      <c r="C198" s="182" t="s">
        <v>253</v>
      </c>
      <c r="D198" s="38" t="s">
        <v>420</v>
      </c>
      <c r="E198" s="237">
        <v>1.05</v>
      </c>
      <c r="F198" s="185" t="s">
        <v>2</v>
      </c>
      <c r="G198" s="691">
        <v>1.05</v>
      </c>
      <c r="H198" s="571">
        <f t="shared" si="10"/>
        <v>0</v>
      </c>
      <c r="L198" s="55"/>
      <c r="P198" s="46"/>
    </row>
    <row r="199" spans="1:16" ht="15" customHeight="1" x14ac:dyDescent="0.2">
      <c r="A199" s="146"/>
      <c r="B199" s="771" t="s">
        <v>421</v>
      </c>
      <c r="C199" s="124" t="s">
        <v>253</v>
      </c>
      <c r="D199" s="468" t="str">
        <f>IF(ABS(E199-E198)&gt;0.02,"ejecutar función objetivo","correcto ")</f>
        <v xml:space="preserve">correcto </v>
      </c>
      <c r="E199" s="237">
        <f>E195+E196</f>
        <v>1.0499671618788706</v>
      </c>
      <c r="F199" s="185" t="s">
        <v>2</v>
      </c>
      <c r="G199" s="691">
        <f>G195+G196</f>
        <v>1.0499671618788706</v>
      </c>
      <c r="H199" s="571">
        <f t="shared" si="10"/>
        <v>0</v>
      </c>
      <c r="L199" s="55"/>
      <c r="P199" s="46"/>
    </row>
    <row r="200" spans="1:16" ht="15" customHeight="1" x14ac:dyDescent="0.2">
      <c r="A200" s="146"/>
      <c r="B200" s="452"/>
      <c r="C200" s="515" t="s">
        <v>138</v>
      </c>
      <c r="D200" s="101"/>
      <c r="E200" s="469">
        <f>E185*E197</f>
        <v>5.6618640627650878</v>
      </c>
      <c r="F200" s="785" t="s">
        <v>15</v>
      </c>
      <c r="G200" s="790">
        <f>G185*G197</f>
        <v>5.6618640627650878</v>
      </c>
      <c r="H200" s="571">
        <f t="shared" si="10"/>
        <v>0</v>
      </c>
      <c r="L200" s="55"/>
      <c r="P200" s="46"/>
    </row>
    <row r="201" spans="1:16" ht="15" customHeight="1" x14ac:dyDescent="0.2">
      <c r="A201" s="146"/>
      <c r="B201" s="452"/>
      <c r="C201" s="261" t="s">
        <v>530</v>
      </c>
      <c r="D201" s="6"/>
      <c r="E201" s="85">
        <f>2*E18</f>
        <v>322.25274200507954</v>
      </c>
      <c r="F201" s="21" t="s">
        <v>23</v>
      </c>
      <c r="G201" s="584">
        <f>2*G18</f>
        <v>322.25274200507954</v>
      </c>
      <c r="H201" s="571">
        <f t="shared" si="10"/>
        <v>0</v>
      </c>
      <c r="L201" s="55"/>
      <c r="P201" s="46"/>
    </row>
    <row r="202" spans="1:16" ht="15" customHeight="1" x14ac:dyDescent="0.2">
      <c r="A202" s="146"/>
      <c r="B202" s="452"/>
      <c r="C202" s="257" t="s">
        <v>527</v>
      </c>
      <c r="D202" s="108"/>
      <c r="E202" s="109">
        <f>E201/(E200*3.6)</f>
        <v>15.810102391128446</v>
      </c>
      <c r="F202" s="101" t="s">
        <v>70</v>
      </c>
      <c r="G202" s="790">
        <f>G201/(G200*3.6)</f>
        <v>15.810102391128446</v>
      </c>
      <c r="H202" s="571">
        <f t="shared" si="10"/>
        <v>0</v>
      </c>
      <c r="L202" s="55"/>
      <c r="P202" s="46"/>
    </row>
    <row r="203" spans="1:16" ht="15" customHeight="1" x14ac:dyDescent="0.2">
      <c r="A203" s="146"/>
      <c r="B203" s="452"/>
      <c r="C203" s="124" t="s">
        <v>528</v>
      </c>
      <c r="D203" s="511"/>
      <c r="E203" s="64">
        <f>E127/2</f>
        <v>3.5</v>
      </c>
      <c r="F203" s="6" t="s">
        <v>84</v>
      </c>
      <c r="G203" s="790">
        <f>G127/2</f>
        <v>3.5</v>
      </c>
      <c r="H203" s="571">
        <f t="shared" si="10"/>
        <v>0</v>
      </c>
      <c r="L203" s="55"/>
      <c r="P203" s="46"/>
    </row>
    <row r="204" spans="1:16" ht="15" customHeight="1" x14ac:dyDescent="0.2">
      <c r="A204" s="146"/>
      <c r="B204" s="452"/>
      <c r="C204" s="257" t="s">
        <v>529</v>
      </c>
      <c r="D204" s="108"/>
      <c r="E204" s="109">
        <f>24*E203/E202</f>
        <v>5.313058569888522</v>
      </c>
      <c r="F204" s="101"/>
      <c r="G204" s="790">
        <f>24*G203/G202</f>
        <v>5.313058569888522</v>
      </c>
      <c r="H204" s="571">
        <f t="shared" si="10"/>
        <v>0</v>
      </c>
      <c r="L204" s="55"/>
      <c r="P204" s="46"/>
    </row>
    <row r="205" spans="1:16" ht="15" customHeight="1" x14ac:dyDescent="0.2">
      <c r="A205" s="146"/>
      <c r="B205" s="772"/>
      <c r="C205" s="578" t="s">
        <v>263</v>
      </c>
      <c r="D205" s="58"/>
      <c r="E205" s="47"/>
      <c r="F205" s="61"/>
      <c r="G205" s="47"/>
      <c r="H205" s="61"/>
      <c r="L205" s="55"/>
      <c r="P205" s="46"/>
    </row>
    <row r="206" spans="1:16" ht="15" customHeight="1" x14ac:dyDescent="0.2">
      <c r="A206" s="146"/>
      <c r="B206" s="452" t="s">
        <v>373</v>
      </c>
      <c r="C206" s="742" t="s">
        <v>260</v>
      </c>
      <c r="D206" s="482"/>
      <c r="E206" s="500">
        <v>8</v>
      </c>
      <c r="F206" s="481" t="s">
        <v>7</v>
      </c>
      <c r="G206" s="584">
        <v>8</v>
      </c>
      <c r="H206" s="571">
        <f t="shared" si="10"/>
        <v>0</v>
      </c>
      <c r="L206" s="55"/>
      <c r="P206" s="46"/>
    </row>
    <row r="207" spans="1:16" ht="15" customHeight="1" x14ac:dyDescent="0.2">
      <c r="A207" s="146"/>
      <c r="B207" s="148" t="s">
        <v>284</v>
      </c>
      <c r="C207" s="783" t="s">
        <v>531</v>
      </c>
      <c r="D207" s="482"/>
      <c r="E207" s="500">
        <v>12</v>
      </c>
      <c r="F207" s="481" t="s">
        <v>4</v>
      </c>
      <c r="G207" s="792">
        <v>12</v>
      </c>
      <c r="H207" s="571">
        <f t="shared" si="10"/>
        <v>0</v>
      </c>
      <c r="L207" s="55"/>
      <c r="P207" s="46"/>
    </row>
    <row r="208" spans="1:16" ht="15" customHeight="1" x14ac:dyDescent="0.2">
      <c r="A208" s="146"/>
      <c r="B208" s="452"/>
      <c r="C208" s="784" t="s">
        <v>597</v>
      </c>
      <c r="D208" s="101"/>
      <c r="E208" s="109">
        <f>E206*1000*E207*'Parrilla de Aireación'!E15/1000000</f>
        <v>7.7419200000000004</v>
      </c>
      <c r="F208" s="785" t="s">
        <v>15</v>
      </c>
      <c r="G208" s="793">
        <f>G206*1000*G207*'Parrilla de Aireación'!G15/1000000</f>
        <v>7.7419200000000004</v>
      </c>
      <c r="H208" s="571">
        <f t="shared" si="10"/>
        <v>0</v>
      </c>
      <c r="L208" s="55"/>
      <c r="P208" s="46"/>
    </row>
    <row r="209" spans="1:16" ht="15" customHeight="1" x14ac:dyDescent="0.2">
      <c r="A209" s="146"/>
      <c r="B209" s="763" t="s">
        <v>281</v>
      </c>
      <c r="C209" s="439" t="s">
        <v>532</v>
      </c>
      <c r="D209" s="118"/>
      <c r="E209" s="304">
        <f>'Tuberías Varias'!E3</f>
        <v>2.8771410177280679</v>
      </c>
      <c r="F209" s="791" t="s">
        <v>2</v>
      </c>
      <c r="G209" s="794">
        <f>'Tuberías Varias'!G3</f>
        <v>2.8771410177280679</v>
      </c>
      <c r="H209" s="571">
        <f t="shared" ref="H209:H217" si="11">G209-E209</f>
        <v>0</v>
      </c>
      <c r="L209" s="55"/>
      <c r="P209" s="46"/>
    </row>
    <row r="210" spans="1:16" ht="15" customHeight="1" x14ac:dyDescent="0.2">
      <c r="A210" s="146"/>
      <c r="B210" s="452"/>
      <c r="C210" s="261" t="s">
        <v>533</v>
      </c>
      <c r="D210" s="6"/>
      <c r="E210" s="64">
        <f>E207^2/19.6</f>
        <v>7.3469387755102034</v>
      </c>
      <c r="F210" s="21" t="s">
        <v>2</v>
      </c>
      <c r="G210" s="582">
        <f>G207^2/19.6</f>
        <v>7.3469387755102034</v>
      </c>
      <c r="H210" s="571">
        <f>'Parrilla de Aireación'!H6</f>
        <v>0</v>
      </c>
      <c r="L210" s="55"/>
      <c r="P210" s="46"/>
    </row>
    <row r="211" spans="1:16" ht="15" customHeight="1" x14ac:dyDescent="0.2">
      <c r="A211" s="146"/>
      <c r="B211" s="452" t="s">
        <v>373</v>
      </c>
      <c r="C211" s="439" t="s">
        <v>150</v>
      </c>
      <c r="D211" s="118"/>
      <c r="E211" s="64">
        <v>2.2400000000000002</v>
      </c>
      <c r="F211" s="791" t="s">
        <v>2</v>
      </c>
      <c r="G211" s="582">
        <v>2.2400000000000002</v>
      </c>
      <c r="H211" s="571">
        <f t="shared" si="11"/>
        <v>0</v>
      </c>
      <c r="L211" s="55"/>
      <c r="P211" s="46"/>
    </row>
    <row r="212" spans="1:16" ht="15" customHeight="1" x14ac:dyDescent="0.2">
      <c r="A212" s="146"/>
      <c r="B212" s="452"/>
      <c r="C212" s="731" t="s">
        <v>149</v>
      </c>
      <c r="D212" s="258"/>
      <c r="E212" s="259">
        <f>SUM(E209:E211)</f>
        <v>12.464079793238271</v>
      </c>
      <c r="F212" s="487" t="s">
        <v>2</v>
      </c>
      <c r="G212" s="676">
        <f>SUM(G209:G211)</f>
        <v>12.464079793238271</v>
      </c>
      <c r="H212" s="571">
        <f t="shared" si="11"/>
        <v>0</v>
      </c>
      <c r="L212" s="55"/>
      <c r="P212" s="46"/>
    </row>
    <row r="213" spans="1:16" ht="15" customHeight="1" x14ac:dyDescent="0.2">
      <c r="A213" s="146"/>
      <c r="B213" s="452" t="s">
        <v>53</v>
      </c>
      <c r="C213" s="732" t="s">
        <v>52</v>
      </c>
      <c r="D213" s="493"/>
      <c r="E213" s="494">
        <v>0.6</v>
      </c>
      <c r="F213" s="714"/>
      <c r="G213" s="662">
        <v>0.6</v>
      </c>
      <c r="H213" s="571">
        <f t="shared" si="11"/>
        <v>0</v>
      </c>
      <c r="L213" s="55"/>
      <c r="P213" s="46"/>
    </row>
    <row r="214" spans="1:16" ht="15" customHeight="1" x14ac:dyDescent="0.2">
      <c r="A214" s="146"/>
      <c r="B214" s="452"/>
      <c r="C214" s="495" t="s">
        <v>54</v>
      </c>
      <c r="D214" s="496"/>
      <c r="E214" s="592">
        <f>9.81*0.001*E208*E212/E213</f>
        <v>1.5777081061473794</v>
      </c>
      <c r="F214" s="733" t="s">
        <v>19</v>
      </c>
      <c r="G214" s="667">
        <f>9.81*0.001*G208*G212/G213</f>
        <v>1.5777081061473794</v>
      </c>
      <c r="H214" s="571">
        <f t="shared" si="11"/>
        <v>0</v>
      </c>
      <c r="L214" s="55"/>
      <c r="P214" s="46"/>
    </row>
    <row r="215" spans="1:16" ht="15" customHeight="1" x14ac:dyDescent="0.2">
      <c r="A215" s="146"/>
      <c r="B215" s="452"/>
      <c r="C215" s="497"/>
      <c r="D215" s="498"/>
      <c r="E215" s="593">
        <f>E214/0.746</f>
        <v>2.1148902227176669</v>
      </c>
      <c r="F215" s="734" t="s">
        <v>55</v>
      </c>
      <c r="G215" s="667">
        <f>G214/0.746</f>
        <v>2.1148902227176669</v>
      </c>
      <c r="H215" s="571">
        <f t="shared" si="11"/>
        <v>0</v>
      </c>
      <c r="L215" s="55"/>
      <c r="P215" s="46"/>
    </row>
    <row r="216" spans="1:16" ht="15" customHeight="1" x14ac:dyDescent="0.2">
      <c r="A216" s="146"/>
      <c r="B216" s="763"/>
      <c r="C216" s="740" t="s">
        <v>261</v>
      </c>
      <c r="D216" s="84"/>
      <c r="E216" s="241">
        <f>E200/E208</f>
        <v>0.73132557075829863</v>
      </c>
      <c r="F216" s="741"/>
      <c r="G216" s="663">
        <f>G200/G208</f>
        <v>0.73132557075829863</v>
      </c>
      <c r="H216" s="571">
        <f t="shared" si="11"/>
        <v>0</v>
      </c>
      <c r="L216" s="55"/>
      <c r="P216" s="46"/>
    </row>
    <row r="217" spans="1:16" ht="15" customHeight="1" x14ac:dyDescent="0.2">
      <c r="A217" s="146"/>
      <c r="B217" s="763"/>
      <c r="C217" s="257" t="s">
        <v>117</v>
      </c>
      <c r="D217" s="108"/>
      <c r="E217" s="240">
        <f>E216*E214*24*364</f>
        <v>10079.756504722429</v>
      </c>
      <c r="F217" s="104" t="s">
        <v>80</v>
      </c>
      <c r="G217" s="665">
        <f>G216*G214*24*364</f>
        <v>10079.756504722429</v>
      </c>
      <c r="H217" s="571">
        <f t="shared" si="11"/>
        <v>0</v>
      </c>
      <c r="L217" s="55"/>
      <c r="P217" s="46"/>
    </row>
    <row r="218" spans="1:16" ht="15" customHeight="1" x14ac:dyDescent="0.25">
      <c r="A218" s="146"/>
      <c r="C218" s="710" t="s">
        <v>535</v>
      </c>
      <c r="E218" s="37"/>
      <c r="F218" s="743"/>
      <c r="G218" s="591"/>
      <c r="H218" s="23"/>
      <c r="L218" s="55"/>
      <c r="P218" s="46"/>
    </row>
    <row r="219" spans="1:16" ht="15" customHeight="1" x14ac:dyDescent="0.25">
      <c r="A219" s="146"/>
      <c r="B219" s="452"/>
      <c r="C219" s="533" t="s">
        <v>536</v>
      </c>
      <c r="D219" s="6"/>
      <c r="E219" s="534"/>
      <c r="F219" s="661"/>
      <c r="G219" s="534"/>
      <c r="H219" s="61"/>
      <c r="L219" s="55"/>
      <c r="P219" s="46"/>
    </row>
    <row r="220" spans="1:16" ht="15" customHeight="1" x14ac:dyDescent="0.2">
      <c r="A220" s="146"/>
      <c r="B220" s="452"/>
      <c r="C220" s="443" t="s">
        <v>434</v>
      </c>
      <c r="D220" s="48"/>
      <c r="E220" s="160">
        <f>E45</f>
        <v>15.397236013002706</v>
      </c>
      <c r="F220" s="744" t="s">
        <v>158</v>
      </c>
      <c r="G220" s="671">
        <f>G45</f>
        <v>15.397236013002706</v>
      </c>
      <c r="H220" s="571">
        <f t="shared" ref="H220:H221" si="12">G220-E220</f>
        <v>0</v>
      </c>
      <c r="L220" s="55"/>
      <c r="P220" s="46"/>
    </row>
    <row r="221" spans="1:16" ht="15" customHeight="1" x14ac:dyDescent="0.2">
      <c r="A221" s="146"/>
      <c r="B221" s="452"/>
      <c r="C221" s="443" t="s">
        <v>482</v>
      </c>
      <c r="D221" s="48"/>
      <c r="E221" s="160">
        <f>E54</f>
        <v>2.7069230328426683</v>
      </c>
      <c r="F221" s="744" t="s">
        <v>158</v>
      </c>
      <c r="G221" s="671">
        <f>G54</f>
        <v>2.7069230328426683</v>
      </c>
      <c r="H221" s="571">
        <f t="shared" si="12"/>
        <v>0</v>
      </c>
      <c r="L221" s="55"/>
      <c r="P221" s="46"/>
    </row>
    <row r="222" spans="1:16" ht="15" customHeight="1" x14ac:dyDescent="0.25">
      <c r="A222" s="146"/>
      <c r="B222" s="452"/>
      <c r="C222" s="533" t="s">
        <v>537</v>
      </c>
      <c r="D222" s="6"/>
      <c r="E222" s="534"/>
      <c r="F222" s="661"/>
      <c r="G222" s="534"/>
      <c r="H222" s="61"/>
      <c r="L222" s="55"/>
      <c r="P222" s="46"/>
    </row>
    <row r="223" spans="1:16" ht="15" customHeight="1" x14ac:dyDescent="0.2">
      <c r="A223" s="146"/>
      <c r="B223" s="380"/>
      <c r="C223" s="445" t="s">
        <v>97</v>
      </c>
      <c r="D223" s="378"/>
      <c r="E223" s="470">
        <f>E14*365*'Suministro de Alimento y O2'!H96/1000</f>
        <v>141.32566320169914</v>
      </c>
      <c r="F223" s="744" t="s">
        <v>158</v>
      </c>
      <c r="G223" s="666">
        <f>G14*365*'Suministro de Alimento y O2'!H96/1000</f>
        <v>141.32566320169914</v>
      </c>
      <c r="H223" s="571">
        <f t="shared" ref="H223:H229" si="13">G223-E223</f>
        <v>0</v>
      </c>
      <c r="L223" s="55"/>
      <c r="P223" s="46"/>
    </row>
    <row r="224" spans="1:16" ht="15" customHeight="1" x14ac:dyDescent="0.2">
      <c r="A224" s="146"/>
      <c r="B224" s="871" t="s">
        <v>438</v>
      </c>
      <c r="C224" s="501" t="s">
        <v>98</v>
      </c>
      <c r="D224" s="502"/>
      <c r="E224" s="503">
        <v>117</v>
      </c>
      <c r="F224" s="745" t="s">
        <v>99</v>
      </c>
      <c r="G224" s="666">
        <v>117</v>
      </c>
      <c r="H224" s="571">
        <f t="shared" si="13"/>
        <v>0</v>
      </c>
      <c r="L224" s="55"/>
      <c r="P224" s="46"/>
    </row>
    <row r="225" spans="1:16" ht="15" customHeight="1" x14ac:dyDescent="0.2">
      <c r="A225" s="146"/>
      <c r="B225" s="872"/>
      <c r="C225" s="504"/>
      <c r="D225" s="505"/>
      <c r="E225" s="506">
        <f>E224*1000/365</f>
        <v>320.54794520547944</v>
      </c>
      <c r="F225" s="746" t="s">
        <v>100</v>
      </c>
      <c r="G225" s="666">
        <f>G224*1000/365</f>
        <v>320.54794520547944</v>
      </c>
      <c r="H225" s="571">
        <f t="shared" si="13"/>
        <v>0</v>
      </c>
      <c r="L225" s="55"/>
      <c r="P225" s="46"/>
    </row>
    <row r="226" spans="1:16" ht="15" customHeight="1" x14ac:dyDescent="0.2">
      <c r="A226" s="146"/>
      <c r="B226" s="451"/>
      <c r="C226" s="441" t="s">
        <v>424</v>
      </c>
      <c r="D226" s="24"/>
      <c r="E226" s="39">
        <f>E223/E224</f>
        <v>1.207911651296574</v>
      </c>
      <c r="F226" s="747" t="s">
        <v>101</v>
      </c>
      <c r="G226" s="674">
        <f>G223/G224</f>
        <v>1.207911651296574</v>
      </c>
      <c r="H226" s="571">
        <f t="shared" si="13"/>
        <v>0</v>
      </c>
      <c r="L226" s="55"/>
      <c r="P226" s="46"/>
    </row>
    <row r="227" spans="1:16" ht="15" customHeight="1" x14ac:dyDescent="0.2">
      <c r="A227" s="146"/>
      <c r="B227" s="380"/>
      <c r="C227" s="441" t="s">
        <v>102</v>
      </c>
      <c r="D227" s="24"/>
      <c r="E227" s="39">
        <v>0.12</v>
      </c>
      <c r="F227" s="747" t="s">
        <v>101</v>
      </c>
      <c r="G227" s="674">
        <v>0.12</v>
      </c>
      <c r="H227" s="571">
        <f t="shared" si="13"/>
        <v>0</v>
      </c>
      <c r="L227" s="55"/>
      <c r="P227" s="46"/>
    </row>
    <row r="228" spans="1:16" ht="15" customHeight="1" x14ac:dyDescent="0.2">
      <c r="A228" s="146"/>
      <c r="B228" s="380"/>
      <c r="C228" s="442" t="s">
        <v>103</v>
      </c>
      <c r="D228" s="26"/>
      <c r="E228" s="57">
        <v>0.2</v>
      </c>
      <c r="F228" s="364" t="s">
        <v>101</v>
      </c>
      <c r="G228" s="667">
        <v>0.2</v>
      </c>
      <c r="H228" s="571">
        <f t="shared" si="13"/>
        <v>0</v>
      </c>
      <c r="L228" s="55"/>
      <c r="P228" s="46"/>
    </row>
    <row r="229" spans="1:16" ht="15" customHeight="1" x14ac:dyDescent="0.2">
      <c r="A229" s="146"/>
      <c r="B229" s="452"/>
      <c r="C229" s="443" t="s">
        <v>104</v>
      </c>
      <c r="D229" s="32"/>
      <c r="E229" s="215">
        <f>SUM(E226:E228)</f>
        <v>1.5279116512965738</v>
      </c>
      <c r="F229" s="703" t="s">
        <v>101</v>
      </c>
      <c r="G229" s="676">
        <f>SUM(G226:G228)</f>
        <v>1.5279116512965738</v>
      </c>
      <c r="H229" s="571">
        <f t="shared" si="13"/>
        <v>0</v>
      </c>
      <c r="L229" s="55"/>
      <c r="P229" s="46"/>
    </row>
    <row r="230" spans="1:16" ht="15" customHeight="1" x14ac:dyDescent="0.25">
      <c r="A230" s="146"/>
      <c r="C230" s="533" t="s">
        <v>538</v>
      </c>
      <c r="D230" s="6"/>
      <c r="E230" s="534"/>
      <c r="F230" s="661"/>
      <c r="G230" s="534"/>
      <c r="H230" s="61"/>
      <c r="L230" s="55"/>
      <c r="P230" s="46"/>
    </row>
    <row r="231" spans="1:16" ht="15" customHeight="1" x14ac:dyDescent="0.2">
      <c r="A231" s="146"/>
      <c r="B231" s="380"/>
      <c r="C231" s="445" t="s">
        <v>595</v>
      </c>
      <c r="D231" s="378"/>
      <c r="E231" s="379">
        <f>E14*E22*E18</f>
        <v>2578.0219360406363</v>
      </c>
      <c r="F231" s="744" t="s">
        <v>106</v>
      </c>
      <c r="G231" s="665">
        <f>G14*G22*G18</f>
        <v>2578.0219360406363</v>
      </c>
      <c r="H231" s="571">
        <f t="shared" ref="H231:H234" si="14">G231-E231</f>
        <v>0</v>
      </c>
      <c r="L231" s="55"/>
      <c r="P231" s="46"/>
    </row>
    <row r="232" spans="1:16" ht="15" customHeight="1" x14ac:dyDescent="0.2">
      <c r="A232" s="146"/>
      <c r="B232" s="452"/>
      <c r="C232" s="124" t="s">
        <v>596</v>
      </c>
      <c r="D232" s="19"/>
      <c r="E232" s="310">
        <f>E18</f>
        <v>161.12637100253977</v>
      </c>
      <c r="F232" s="61" t="s">
        <v>23</v>
      </c>
      <c r="G232" s="693">
        <f>G18</f>
        <v>161.12637100253977</v>
      </c>
      <c r="H232" s="571">
        <f t="shared" si="14"/>
        <v>0</v>
      </c>
      <c r="L232" s="55"/>
      <c r="P232" s="46"/>
    </row>
    <row r="233" spans="1:16" ht="15" customHeight="1" x14ac:dyDescent="0.2">
      <c r="A233" s="146"/>
      <c r="B233" s="452"/>
      <c r="C233" s="444" t="s">
        <v>402</v>
      </c>
      <c r="D233" s="114"/>
      <c r="E233" s="430">
        <v>3</v>
      </c>
      <c r="F233" s="717" t="s">
        <v>84</v>
      </c>
      <c r="G233" s="694">
        <v>3</v>
      </c>
      <c r="H233" s="571">
        <f t="shared" si="14"/>
        <v>0</v>
      </c>
      <c r="L233" s="55"/>
      <c r="P233" s="46"/>
    </row>
    <row r="234" spans="1:16" ht="15" customHeight="1" x14ac:dyDescent="0.2">
      <c r="A234" s="146"/>
      <c r="B234" s="452"/>
      <c r="C234" s="436" t="s">
        <v>161</v>
      </c>
      <c r="D234" s="111"/>
      <c r="E234" s="112">
        <f>E232/(E233*86.4)</f>
        <v>0.62162951775671194</v>
      </c>
      <c r="F234" s="706" t="s">
        <v>15</v>
      </c>
      <c r="G234" s="667">
        <f>G232/(G233*86.4)</f>
        <v>0.62162951775671194</v>
      </c>
      <c r="H234" s="571">
        <f t="shared" si="14"/>
        <v>0</v>
      </c>
      <c r="L234" s="55"/>
      <c r="P234" s="46"/>
    </row>
    <row r="235" spans="1:16" ht="15" customHeight="1" x14ac:dyDescent="0.25">
      <c r="A235" s="146"/>
      <c r="C235" s="533" t="s">
        <v>539</v>
      </c>
      <c r="D235" s="6"/>
      <c r="E235" s="534"/>
      <c r="F235" s="661"/>
      <c r="G235" s="534"/>
      <c r="H235" s="61"/>
      <c r="L235" s="55"/>
      <c r="P235" s="46"/>
    </row>
    <row r="236" spans="1:16" ht="15" customHeight="1" x14ac:dyDescent="0.2">
      <c r="A236" s="146"/>
      <c r="B236" s="773"/>
      <c r="C236" s="445" t="s">
        <v>369</v>
      </c>
      <c r="D236" s="378"/>
      <c r="E236" s="379">
        <f>E68+E131+E135+E164+E217</f>
        <v>26100.536763802636</v>
      </c>
      <c r="F236" s="744" t="s">
        <v>76</v>
      </c>
      <c r="G236" s="665">
        <f>G68+G131+G135+G164+G217</f>
        <v>26100.542419214362</v>
      </c>
      <c r="H236" s="571">
        <f t="shared" ref="H236" si="15">G236-E236</f>
        <v>5.6554117254563607E-3</v>
      </c>
      <c r="L236" s="55"/>
      <c r="P236" s="46"/>
    </row>
    <row r="237" spans="1:16" ht="15" customHeight="1" x14ac:dyDescent="0.2">
      <c r="B237" s="453"/>
      <c r="C237" s="306"/>
      <c r="D237" s="20"/>
      <c r="E237" s="83"/>
      <c r="H237" s="59"/>
      <c r="L237" s="55"/>
      <c r="P237" s="46"/>
    </row>
    <row r="238" spans="1:16" ht="15.75" customHeight="1" x14ac:dyDescent="0.2">
      <c r="C238" s="876" t="s">
        <v>489</v>
      </c>
      <c r="D238" s="877"/>
      <c r="E238"/>
      <c r="F238"/>
    </row>
    <row r="239" spans="1:16" ht="14.25" customHeight="1" x14ac:dyDescent="0.2">
      <c r="C239" s="863" t="s">
        <v>495</v>
      </c>
      <c r="D239" s="878"/>
      <c r="E239" s="861"/>
      <c r="F239" s="861"/>
    </row>
    <row r="240" spans="1:16" ht="14.25" customHeight="1" x14ac:dyDescent="0.2">
      <c r="C240" s="863" t="s">
        <v>496</v>
      </c>
      <c r="D240" s="878"/>
      <c r="E240" s="861"/>
      <c r="F240" s="861"/>
    </row>
    <row r="241" spans="3:6" ht="14.25" customHeight="1" x14ac:dyDescent="0.2">
      <c r="C241" s="863" t="s">
        <v>497</v>
      </c>
      <c r="D241" s="864"/>
      <c r="E241" s="864"/>
      <c r="F241" s="864"/>
    </row>
    <row r="242" spans="3:6" ht="14.25" customHeight="1" x14ac:dyDescent="0.2">
      <c r="C242" s="863" t="s">
        <v>498</v>
      </c>
      <c r="D242" s="878"/>
      <c r="E242" s="861"/>
      <c r="F242" s="861"/>
    </row>
    <row r="243" spans="3:6" ht="14.25" customHeight="1" x14ac:dyDescent="0.2">
      <c r="C243" s="863" t="s">
        <v>490</v>
      </c>
      <c r="D243" s="878"/>
      <c r="E243" s="861"/>
      <c r="F243" s="861"/>
    </row>
    <row r="244" spans="3:6" x14ac:dyDescent="0.2">
      <c r="C244" s="863" t="s">
        <v>521</v>
      </c>
      <c r="D244" s="861"/>
      <c r="E244" s="861"/>
      <c r="F244" s="861"/>
    </row>
    <row r="245" spans="3:6" ht="14.25" customHeight="1" x14ac:dyDescent="0.2">
      <c r="C245" s="863" t="s">
        <v>499</v>
      </c>
      <c r="D245" s="861"/>
      <c r="E245" s="861"/>
      <c r="F245" s="861"/>
    </row>
    <row r="246" spans="3:6" ht="14.25" customHeight="1" x14ac:dyDescent="0.2">
      <c r="C246" s="863" t="s">
        <v>506</v>
      </c>
      <c r="D246" s="861"/>
      <c r="E246" s="861"/>
      <c r="F246" s="861"/>
    </row>
    <row r="247" spans="3:6" ht="15" customHeight="1" x14ac:dyDescent="0.2">
      <c r="C247" s="863" t="s">
        <v>507</v>
      </c>
      <c r="D247" s="861"/>
      <c r="E247" s="861"/>
      <c r="F247" s="861"/>
    </row>
    <row r="248" spans="3:6" ht="15" customHeight="1" x14ac:dyDescent="0.2">
      <c r="C248" s="863" t="s">
        <v>500</v>
      </c>
      <c r="D248" s="861"/>
      <c r="E248" s="861"/>
      <c r="F248" s="861"/>
    </row>
    <row r="249" spans="3:6" ht="15" customHeight="1" x14ac:dyDescent="0.2">
      <c r="C249" s="863" t="s">
        <v>501</v>
      </c>
      <c r="D249" s="861"/>
      <c r="E249" s="861"/>
      <c r="F249" s="861"/>
    </row>
    <row r="250" spans="3:6" ht="14.25" customHeight="1" x14ac:dyDescent="0.2">
      <c r="C250" s="863" t="s">
        <v>522</v>
      </c>
      <c r="D250" s="861"/>
      <c r="E250" s="861"/>
      <c r="F250" s="861"/>
    </row>
    <row r="251" spans="3:6" ht="15" customHeight="1" x14ac:dyDescent="0.2">
      <c r="C251" s="863" t="s">
        <v>502</v>
      </c>
      <c r="D251" s="861"/>
      <c r="E251" s="861"/>
      <c r="F251" s="861"/>
    </row>
    <row r="252" spans="3:6" ht="15" customHeight="1" x14ac:dyDescent="0.2">
      <c r="C252" s="863" t="s">
        <v>508</v>
      </c>
      <c r="D252" s="861"/>
      <c r="E252" s="861"/>
      <c r="F252" s="861"/>
    </row>
    <row r="253" spans="3:6" ht="15" customHeight="1" x14ac:dyDescent="0.2">
      <c r="C253" s="863" t="s">
        <v>491</v>
      </c>
      <c r="D253" s="864"/>
      <c r="E253" s="864"/>
      <c r="F253" s="864"/>
    </row>
    <row r="254" spans="3:6" ht="15" customHeight="1" x14ac:dyDescent="0.2">
      <c r="C254" s="860" t="s">
        <v>492</v>
      </c>
      <c r="D254" s="860"/>
      <c r="E254" s="860"/>
      <c r="F254" s="860"/>
    </row>
    <row r="255" spans="3:6" ht="14.25" customHeight="1" x14ac:dyDescent="0.25">
      <c r="C255" s="860" t="s">
        <v>493</v>
      </c>
      <c r="D255" s="865"/>
      <c r="E255" s="865"/>
      <c r="F255" s="865"/>
    </row>
    <row r="256" spans="3:6" ht="15" customHeight="1" x14ac:dyDescent="0.25">
      <c r="C256" s="860" t="s">
        <v>503</v>
      </c>
      <c r="D256" s="866"/>
      <c r="E256" s="862"/>
      <c r="F256" s="862"/>
    </row>
    <row r="257" spans="3:6" ht="15" customHeight="1" x14ac:dyDescent="0.25">
      <c r="C257" s="860" t="s">
        <v>504</v>
      </c>
      <c r="D257" s="866"/>
      <c r="E257" s="862"/>
      <c r="F257" s="862"/>
    </row>
    <row r="258" spans="3:6" ht="15" customHeight="1" x14ac:dyDescent="0.2">
      <c r="C258" s="860" t="s">
        <v>505</v>
      </c>
      <c r="D258" s="861"/>
      <c r="E258" s="861"/>
      <c r="F258" s="861"/>
    </row>
    <row r="259" spans="3:6" ht="15" customHeight="1" x14ac:dyDescent="0.25">
      <c r="C259" s="860" t="s">
        <v>494</v>
      </c>
      <c r="D259" s="862"/>
      <c r="E259" s="862"/>
      <c r="F259" s="862"/>
    </row>
    <row r="260" spans="3:6" ht="15" x14ac:dyDescent="0.25">
      <c r="C260" s="860" t="s">
        <v>509</v>
      </c>
      <c r="D260" s="866"/>
      <c r="E260" s="862"/>
      <c r="F260" s="862"/>
    </row>
  </sheetData>
  <mergeCells count="27">
    <mergeCell ref="B76:B77"/>
    <mergeCell ref="C260:F260"/>
    <mergeCell ref="C12:F12"/>
    <mergeCell ref="B224:B225"/>
    <mergeCell ref="C118:C120"/>
    <mergeCell ref="C238:D238"/>
    <mergeCell ref="C239:F239"/>
    <mergeCell ref="C240:F240"/>
    <mergeCell ref="C241:F241"/>
    <mergeCell ref="C242:F242"/>
    <mergeCell ref="C243:F243"/>
    <mergeCell ref="C245:F245"/>
    <mergeCell ref="C246:F246"/>
    <mergeCell ref="C247:F247"/>
    <mergeCell ref="C248:F248"/>
    <mergeCell ref="C244:F244"/>
    <mergeCell ref="C258:F258"/>
    <mergeCell ref="C259:F259"/>
    <mergeCell ref="C249:F249"/>
    <mergeCell ref="C250:F250"/>
    <mergeCell ref="C251:F251"/>
    <mergeCell ref="C252:F252"/>
    <mergeCell ref="C253:F253"/>
    <mergeCell ref="C254:F254"/>
    <mergeCell ref="C255:F255"/>
    <mergeCell ref="C256:F256"/>
    <mergeCell ref="C257:F257"/>
  </mergeCells>
  <hyperlinks>
    <hyperlink ref="B73" r:id="rId1" display="https://www.quiminet.com/archivos_empresa/3d4c7a4cfb3d9c3315bc99cae9417395.pdf" xr:uid="{056EE761-E6A7-4E44-B9B6-63BB0BB711EE}"/>
    <hyperlink ref="B78" r:id="rId2" display="https://diproagro.com/triple15" xr:uid="{2CCE72EF-31BC-46EE-A42C-8D59728C5835}"/>
  </hyperlink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5" firstPageNumber="0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8ABE-20FE-48D1-A49A-4E49C6FCA619}">
  <dimension ref="A1:U137"/>
  <sheetViews>
    <sheetView showGridLines="0" zoomScale="75" zoomScaleNormal="75" workbookViewId="0"/>
  </sheetViews>
  <sheetFormatPr baseColWidth="10" defaultRowHeight="12.75" x14ac:dyDescent="0.2"/>
  <cols>
    <col min="1" max="1" width="5.85546875" customWidth="1"/>
    <col min="2" max="2" width="10.140625" customWidth="1"/>
    <col min="3" max="3" width="12" customWidth="1"/>
    <col min="4" max="4" width="11.7109375" customWidth="1"/>
    <col min="5" max="5" width="15" customWidth="1"/>
    <col min="6" max="6" width="15.140625" customWidth="1"/>
    <col min="7" max="7" width="17" customWidth="1"/>
    <col min="8" max="8" width="13.5703125" customWidth="1"/>
    <col min="9" max="9" width="16.5703125" customWidth="1"/>
    <col min="10" max="10" width="13.28515625" customWidth="1"/>
    <col min="11" max="11" width="12.85546875" customWidth="1"/>
    <col min="12" max="12" width="14" customWidth="1"/>
    <col min="13" max="13" width="13.140625" customWidth="1"/>
    <col min="14" max="14" width="11.5703125" customWidth="1"/>
    <col min="15" max="15" width="16.5703125" customWidth="1"/>
    <col min="16" max="16" width="14" customWidth="1"/>
    <col min="17" max="17" width="13.85546875" customWidth="1"/>
    <col min="18" max="18" width="14.28515625" customWidth="1"/>
  </cols>
  <sheetData>
    <row r="1" spans="2:18" ht="25.5" customHeight="1" x14ac:dyDescent="0.2">
      <c r="F1" s="311" t="s">
        <v>588</v>
      </c>
    </row>
    <row r="2" spans="2:18" ht="18.75" customHeight="1" x14ac:dyDescent="0.25">
      <c r="B2" s="887" t="s">
        <v>134</v>
      </c>
      <c r="C2" s="888"/>
      <c r="D2" s="889"/>
      <c r="E2" s="82" t="s">
        <v>74</v>
      </c>
      <c r="F2" s="82" t="s">
        <v>73</v>
      </c>
      <c r="G2" s="82" t="s">
        <v>72</v>
      </c>
      <c r="M2" s="389" t="s">
        <v>592</v>
      </c>
    </row>
    <row r="3" spans="2:18" ht="16.5" customHeight="1" x14ac:dyDescent="0.2">
      <c r="B3" s="890"/>
      <c r="C3" s="891"/>
      <c r="D3" s="892"/>
      <c r="E3" s="110">
        <v>0.45</v>
      </c>
      <c r="F3" s="110">
        <v>0.35</v>
      </c>
      <c r="G3" s="110">
        <v>0.3</v>
      </c>
    </row>
    <row r="4" spans="2:18" ht="12" hidden="1" customHeight="1" x14ac:dyDescent="0.2">
      <c r="E4" s="66"/>
      <c r="F4" s="66"/>
      <c r="G4" s="66"/>
    </row>
    <row r="5" spans="2:18" ht="9" hidden="1" customHeight="1" x14ac:dyDescent="0.2">
      <c r="B5" s="45"/>
      <c r="C5" s="106"/>
      <c r="D5" s="106"/>
      <c r="E5" s="107" t="s">
        <v>135</v>
      </c>
      <c r="F5" s="105"/>
      <c r="G5" s="105"/>
    </row>
    <row r="6" spans="2:18" ht="60.75" customHeight="1" x14ac:dyDescent="0.2">
      <c r="B6" s="90" t="s">
        <v>112</v>
      </c>
      <c r="C6" s="91" t="s">
        <v>77</v>
      </c>
      <c r="D6" s="91" t="s">
        <v>148</v>
      </c>
      <c r="E6" s="91" t="s">
        <v>147</v>
      </c>
      <c r="F6" s="91" t="s">
        <v>271</v>
      </c>
      <c r="G6" s="91" t="s">
        <v>576</v>
      </c>
      <c r="H6" s="91" t="s">
        <v>331</v>
      </c>
      <c r="I6" s="91" t="s">
        <v>136</v>
      </c>
      <c r="J6" s="91" t="s">
        <v>146</v>
      </c>
      <c r="K6" s="91" t="s">
        <v>346</v>
      </c>
      <c r="L6" s="401"/>
      <c r="M6" s="90" t="s">
        <v>112</v>
      </c>
      <c r="N6" s="91" t="s">
        <v>77</v>
      </c>
      <c r="O6" s="91" t="s">
        <v>582</v>
      </c>
      <c r="P6" s="91" t="s">
        <v>390</v>
      </c>
      <c r="Q6" s="91" t="s">
        <v>382</v>
      </c>
      <c r="R6" s="91" t="s">
        <v>388</v>
      </c>
    </row>
    <row r="7" spans="2:18" ht="13.5" customHeight="1" x14ac:dyDescent="0.2">
      <c r="B7" s="92"/>
      <c r="C7" s="93"/>
      <c r="D7" s="93" t="s">
        <v>78</v>
      </c>
      <c r="E7" s="94" t="s">
        <v>79</v>
      </c>
      <c r="F7" s="94" t="s">
        <v>78</v>
      </c>
      <c r="G7" s="95" t="s">
        <v>82</v>
      </c>
      <c r="H7" s="95" t="s">
        <v>141</v>
      </c>
      <c r="I7" s="95" t="s">
        <v>82</v>
      </c>
      <c r="J7" s="95" t="s">
        <v>133</v>
      </c>
      <c r="K7" s="95" t="s">
        <v>133</v>
      </c>
      <c r="L7" s="402"/>
      <c r="M7" s="92"/>
      <c r="N7" s="93"/>
      <c r="O7" s="95" t="s">
        <v>82</v>
      </c>
      <c r="P7" s="95" t="s">
        <v>387</v>
      </c>
      <c r="Q7" s="95" t="s">
        <v>82</v>
      </c>
      <c r="R7" s="95" t="s">
        <v>367</v>
      </c>
    </row>
    <row r="8" spans="2:18" x14ac:dyDescent="0.2">
      <c r="B8" s="879">
        <v>1</v>
      </c>
      <c r="C8" s="76" t="s">
        <v>74</v>
      </c>
      <c r="D8" s="76">
        <v>0.6</v>
      </c>
      <c r="E8" s="78">
        <f>'Parab Camarones'!$E$48*D8/1000</f>
        <v>0.5296301227357656</v>
      </c>
      <c r="F8" s="77">
        <v>0.15</v>
      </c>
      <c r="G8" s="79">
        <f t="shared" ref="G8:G25" si="0">F8*E8</f>
        <v>7.9444518410364831E-2</v>
      </c>
      <c r="H8" s="79">
        <f>$E$3*'Parab Camarones'!$E$71*G8</f>
        <v>5.7200053255462681E-3</v>
      </c>
      <c r="I8" s="79">
        <f>H8*'Parab Camarones'!$E$72</f>
        <v>0.1430001331386567</v>
      </c>
      <c r="J8" s="97">
        <f>'Parab Camarones'!$E$108*'Suministro de Alimento y O2'!I8/'Parab Camarones'!E114</f>
        <v>1.5371635933209411</v>
      </c>
      <c r="K8" s="339">
        <f>J8*'Parab Camarones'!$E$176</f>
        <v>0.81951664962003401</v>
      </c>
      <c r="L8" s="340"/>
      <c r="M8" s="879">
        <v>1</v>
      </c>
      <c r="N8" s="76" t="s">
        <v>74</v>
      </c>
      <c r="O8" s="79">
        <f>24*E8*(579-75.5*LN(D8))/1000000</f>
        <v>7.8499743172511013E-3</v>
      </c>
      <c r="P8" s="79">
        <f>0.0014*(D8^2)-0.4384*D8+42.303</f>
        <v>42.040464</v>
      </c>
      <c r="Q8" s="79">
        <f>'Parab Camarones'!$E$59*'Suministro de Alimento y O2'!P8*'Suministro de Alimento y O2'!E8*24/(2*1000000)</f>
        <v>1.2584684480348161E-3</v>
      </c>
      <c r="R8" s="78">
        <f>1000*(Q8+O8)</f>
        <v>9.1084427652859183</v>
      </c>
    </row>
    <row r="9" spans="2:18" x14ac:dyDescent="0.2">
      <c r="B9" s="880"/>
      <c r="C9" s="68" t="s">
        <v>73</v>
      </c>
      <c r="D9" s="68">
        <v>15</v>
      </c>
      <c r="E9" s="70">
        <f>'Parab Camarones'!$E$49*D9/1000</f>
        <v>12.843530476342316</v>
      </c>
      <c r="F9" s="69">
        <v>4.3999999999999997E-2</v>
      </c>
      <c r="G9" s="71">
        <f t="shared" si="0"/>
        <v>0.56511534095906191</v>
      </c>
      <c r="H9" s="71">
        <f>$F$3*'Parab Camarones'!$E$71*G9</f>
        <v>3.164645909370746E-2</v>
      </c>
      <c r="I9" s="71">
        <f>H9*'Parab Camarones'!$E$72</f>
        <v>0.79116147734268649</v>
      </c>
      <c r="J9" s="98">
        <f>'Parab Camarones'!$E$108*'Suministro de Alimento y O2'!I9/'Parab Camarones'!$E$114</f>
        <v>8.5044999100104501</v>
      </c>
      <c r="K9" s="340">
        <f>J9*'Parab Camarones'!$E$176</f>
        <v>4.5340517451940991</v>
      </c>
      <c r="L9" s="340"/>
      <c r="M9" s="880"/>
      <c r="N9" s="68" t="s">
        <v>73</v>
      </c>
      <c r="O9" s="71">
        <f t="shared" ref="O9:O25" si="1">24*E9*(579-75.5*LN(D9))/1000000</f>
        <v>0.11545066287500286</v>
      </c>
      <c r="P9" s="71">
        <f t="shared" ref="P9:P25" si="2">0.0014*(D9^2)-0.4384*D9+42.303</f>
        <v>36.041999999999994</v>
      </c>
      <c r="Q9" s="71">
        <f>'Parab Camarones'!$E$59*'Suministro de Alimento y O2'!P9*'Suministro de Alimento y O2'!E9*24/(2*1000000)</f>
        <v>2.6163476817209194E-2</v>
      </c>
      <c r="R9" s="70">
        <f t="shared" ref="R9:R25" si="3">1000*(Q9+O9)</f>
        <v>141.61413969221204</v>
      </c>
    </row>
    <row r="10" spans="2:18" ht="15.95" customHeight="1" x14ac:dyDescent="0.2">
      <c r="B10" s="881"/>
      <c r="C10" s="72" t="s">
        <v>72</v>
      </c>
      <c r="D10" s="72">
        <v>70</v>
      </c>
      <c r="E10" s="74">
        <f>'Parab Camarones'!$E$50*D10/1000</f>
        <v>58.138381289576209</v>
      </c>
      <c r="F10" s="73">
        <v>3.2000000000000001E-2</v>
      </c>
      <c r="G10" s="96">
        <f t="shared" si="0"/>
        <v>1.8604282012664388</v>
      </c>
      <c r="H10" s="75">
        <f>$G$3*'Parab Camarones'!$E$71*G10</f>
        <v>8.9300553660789067E-2</v>
      </c>
      <c r="I10" s="75">
        <f>H10*'Parab Camarones'!$E$72</f>
        <v>2.2325138415197268</v>
      </c>
      <c r="J10" s="99">
        <f>'Parab Camarones'!$E$108*'Suministro de Alimento y O2'!I10/'Parab Camarones'!$E$114</f>
        <v>23.998152473338589</v>
      </c>
      <c r="K10" s="341">
        <f>J10*'Parab Camarones'!$E$176</f>
        <v>12.79426965189317</v>
      </c>
      <c r="L10" s="340"/>
      <c r="M10" s="881"/>
      <c r="N10" s="72" t="s">
        <v>72</v>
      </c>
      <c r="O10" s="75">
        <f t="shared" si="1"/>
        <v>0.3603257934438916</v>
      </c>
      <c r="P10" s="75">
        <f t="shared" si="2"/>
        <v>18.474999999999994</v>
      </c>
      <c r="Q10" s="75">
        <f>'Parab Camarones'!$E$59*'Suministro de Alimento y O2'!P10*'Suministro de Alimento y O2'!E10*24/(2*1000000)</f>
        <v>6.070850471124449E-2</v>
      </c>
      <c r="R10" s="393">
        <f t="shared" si="3"/>
        <v>421.03429815513613</v>
      </c>
    </row>
    <row r="11" spans="2:18" ht="15.95" customHeight="1" x14ac:dyDescent="0.2">
      <c r="B11" s="879">
        <v>2</v>
      </c>
      <c r="C11" s="76" t="s">
        <v>74</v>
      </c>
      <c r="D11" s="76">
        <v>1.2</v>
      </c>
      <c r="E11" s="78">
        <f>'Parab Camarones'!$E$48*D11/1000</f>
        <v>1.0592602454715312</v>
      </c>
      <c r="F11" s="77">
        <v>0.1</v>
      </c>
      <c r="G11" s="71">
        <f t="shared" si="0"/>
        <v>0.10592602454715312</v>
      </c>
      <c r="H11" s="79">
        <f>$E$3*'Parab Camarones'!$E$71*G11</f>
        <v>7.6266737673950256E-3</v>
      </c>
      <c r="I11" s="79">
        <f>H11*'Parab Camarones'!$E$72</f>
        <v>0.19066684418487564</v>
      </c>
      <c r="J11" s="97">
        <f>'Parab Camarones'!$E$108*'Suministro de Alimento y O2'!I11/'Parab Camarones'!$E$114</f>
        <v>2.0495514577612557</v>
      </c>
      <c r="K11" s="339">
        <f>J11*'Parab Camarones'!$E$176</f>
        <v>1.0926888661600458</v>
      </c>
      <c r="L11" s="340"/>
      <c r="M11" s="879">
        <v>2</v>
      </c>
      <c r="N11" s="76" t="s">
        <v>74</v>
      </c>
      <c r="O11" s="79">
        <f t="shared" si="1"/>
        <v>1.4369536100740578E-2</v>
      </c>
      <c r="P11" s="79">
        <f>0.0014*(D11^2)-0.4384*D11+42.303</f>
        <v>41.778935999999995</v>
      </c>
      <c r="Q11" s="79">
        <f>'Parab Camarones'!$E$59*'Suministro de Alimento y O2'!P11*'Suministro de Alimento y O2'!E11*24/(2*1000000)</f>
        <v>2.5012793744838731E-3</v>
      </c>
      <c r="R11" s="78">
        <f t="shared" si="3"/>
        <v>16.87081547522445</v>
      </c>
    </row>
    <row r="12" spans="2:18" ht="15.95" customHeight="1" x14ac:dyDescent="0.2">
      <c r="B12" s="880"/>
      <c r="C12" s="68" t="s">
        <v>73</v>
      </c>
      <c r="D12" s="68">
        <v>20</v>
      </c>
      <c r="E12" s="70">
        <f>'Parab Camarones'!$E$49*D12/1000</f>
        <v>17.124707301789751</v>
      </c>
      <c r="F12" s="69">
        <v>4.2000000000000003E-2</v>
      </c>
      <c r="G12" s="71">
        <f t="shared" si="0"/>
        <v>0.71923770667516962</v>
      </c>
      <c r="H12" s="71">
        <f>$F$3*'Parab Camarones'!$E$71*G12</f>
        <v>4.0277311573809496E-2</v>
      </c>
      <c r="I12" s="71">
        <f>H12*'Parab Camarones'!$E$72</f>
        <v>1.0069327893452373</v>
      </c>
      <c r="J12" s="98">
        <f>'Parab Camarones'!$E$108*'Suministro de Alimento y O2'!I12/'Parab Camarones'!$E$114</f>
        <v>10.823908976376938</v>
      </c>
      <c r="K12" s="340">
        <f>J12*'Parab Camarones'!$E$176</f>
        <v>5.7706113120652178</v>
      </c>
      <c r="L12" s="340"/>
      <c r="M12" s="880"/>
      <c r="N12" s="68" t="s">
        <v>73</v>
      </c>
      <c r="O12" s="71">
        <f t="shared" si="1"/>
        <v>0.14500745119515371</v>
      </c>
      <c r="P12" s="71">
        <f t="shared" si="2"/>
        <v>34.094999999999999</v>
      </c>
      <c r="Q12" s="71">
        <f>'Parab Camarones'!$E$59*'Suministro de Alimento y O2'!P12*'Suministro de Alimento y O2'!E12*24/(2*1000000)</f>
        <v>3.3000156931089555E-2</v>
      </c>
      <c r="R12" s="70">
        <f t="shared" si="3"/>
        <v>178.00760812624327</v>
      </c>
    </row>
    <row r="13" spans="2:18" ht="15.95" customHeight="1" x14ac:dyDescent="0.2">
      <c r="B13" s="881"/>
      <c r="C13" s="72" t="s">
        <v>72</v>
      </c>
      <c r="D13" s="72">
        <v>85</v>
      </c>
      <c r="E13" s="74">
        <f>'Parab Camarones'!$E$50*D13/1000</f>
        <v>70.596605851628269</v>
      </c>
      <c r="F13" s="73">
        <v>0.03</v>
      </c>
      <c r="G13" s="75">
        <f t="shared" si="0"/>
        <v>2.1178981755488482</v>
      </c>
      <c r="H13" s="75">
        <f>$G$3*'Parab Camarones'!$E$71*G13</f>
        <v>0.10165911242634472</v>
      </c>
      <c r="I13" s="75">
        <f>H13*'Parab Camarones'!$E$72</f>
        <v>2.541477810658618</v>
      </c>
      <c r="J13" s="99">
        <f>'Parab Camarones'!$E$108*'Suministro de Alimento y O2'!I13/'Parab Camarones'!$E$114</f>
        <v>27.31932536027384</v>
      </c>
      <c r="K13" s="341">
        <f>J13*'Parab Camarones'!$E$176</f>
        <v>14.564905184074815</v>
      </c>
      <c r="L13" s="340"/>
      <c r="M13" s="881"/>
      <c r="N13" s="72" t="s">
        <v>72</v>
      </c>
      <c r="O13" s="75">
        <f t="shared" si="1"/>
        <v>0.41270182227469976</v>
      </c>
      <c r="P13" s="75">
        <f t="shared" si="2"/>
        <v>15.153999999999996</v>
      </c>
      <c r="Q13" s="75">
        <f>'Parab Camarones'!$E$59*'Suministro de Alimento y O2'!P13*'Suministro de Alimento y O2'!E13*24/(2*1000000)</f>
        <v>6.0466280946071461E-2</v>
      </c>
      <c r="R13" s="393">
        <f t="shared" si="3"/>
        <v>473.16810322077123</v>
      </c>
    </row>
    <row r="14" spans="2:18" ht="15.95" customHeight="1" x14ac:dyDescent="0.2">
      <c r="B14" s="879">
        <v>3</v>
      </c>
      <c r="C14" s="76" t="s">
        <v>74</v>
      </c>
      <c r="D14" s="76">
        <v>3</v>
      </c>
      <c r="E14" s="78">
        <f>'Parab Camarones'!$E$48*D14/1000</f>
        <v>2.648150613678828</v>
      </c>
      <c r="F14" s="77">
        <v>0.06</v>
      </c>
      <c r="G14" s="71">
        <f t="shared" si="0"/>
        <v>0.15888903682072966</v>
      </c>
      <c r="H14" s="79">
        <f>$E$3*'Parab Camarones'!$E$71*G14</f>
        <v>1.1440010651092536E-2</v>
      </c>
      <c r="I14" s="79">
        <f>H14*'Parab Camarones'!$E$72</f>
        <v>0.2860002662773134</v>
      </c>
      <c r="J14" s="97">
        <f>'Parab Camarones'!$E$108*'Suministro de Alimento y O2'!I14/'Parab Camarones'!$E$114</f>
        <v>3.0743271866418822</v>
      </c>
      <c r="K14" s="339">
        <f>J14*'Parab Camarones'!$E$176</f>
        <v>1.639033299240068</v>
      </c>
      <c r="L14" s="340"/>
      <c r="M14" s="879">
        <v>3</v>
      </c>
      <c r="N14" s="76" t="s">
        <v>74</v>
      </c>
      <c r="O14" s="79">
        <f t="shared" si="1"/>
        <v>3.1527065986427009E-2</v>
      </c>
      <c r="P14" s="79">
        <f>0.0014*(D14^2)-0.4384*D14+42.303</f>
        <v>41.000399999999999</v>
      </c>
      <c r="Q14" s="79">
        <f>'Parab Camarones'!$E$59*'Suministro de Alimento y O2'!P14*'Suministro de Alimento y O2'!E14*24/(2*1000000)</f>
        <v>6.1366722494792959E-3</v>
      </c>
      <c r="R14" s="78">
        <f t="shared" si="3"/>
        <v>37.663738235906301</v>
      </c>
    </row>
    <row r="15" spans="2:18" ht="15.95" customHeight="1" x14ac:dyDescent="0.2">
      <c r="B15" s="880"/>
      <c r="C15" s="68" t="s">
        <v>73</v>
      </c>
      <c r="D15" s="68">
        <v>27</v>
      </c>
      <c r="E15" s="70">
        <f>'Parab Camarones'!$E$49*D15/1000</f>
        <v>23.118354857416168</v>
      </c>
      <c r="F15" s="69">
        <v>0.04</v>
      </c>
      <c r="G15" s="71">
        <f t="shared" si="0"/>
        <v>0.92473419429664672</v>
      </c>
      <c r="H15" s="71">
        <f>$F$3*'Parab Camarones'!$E$71*G15</f>
        <v>5.1785114880612208E-2</v>
      </c>
      <c r="I15" s="71">
        <f>H15*'Parab Camarones'!$E$72</f>
        <v>1.2946278720153053</v>
      </c>
      <c r="J15" s="98">
        <f>'Parab Camarones'!$E$108*'Suministro de Alimento y O2'!I15/'Parab Camarones'!$E$114</f>
        <v>13.916454398198921</v>
      </c>
      <c r="K15" s="340">
        <f>J15*'Parab Camarones'!$E$176</f>
        <v>7.4193574012267085</v>
      </c>
      <c r="L15" s="340"/>
      <c r="M15" s="880"/>
      <c r="N15" s="68" t="s">
        <v>73</v>
      </c>
      <c r="O15" s="71">
        <f t="shared" si="1"/>
        <v>0.18318853998721332</v>
      </c>
      <c r="P15" s="71">
        <f t="shared" si="2"/>
        <v>31.486799999999995</v>
      </c>
      <c r="Q15" s="71">
        <f>'Parab Camarones'!$E$59*'Suministro de Alimento y O2'!P15*'Suministro de Alimento y O2'!E15*24/(2*1000000)</f>
        <v>4.1142208848748252E-2</v>
      </c>
      <c r="R15" s="70">
        <f t="shared" si="3"/>
        <v>224.33074883596157</v>
      </c>
    </row>
    <row r="16" spans="2:18" ht="15.95" customHeight="1" x14ac:dyDescent="0.2">
      <c r="B16" s="881"/>
      <c r="C16" s="72" t="s">
        <v>72</v>
      </c>
      <c r="D16" s="72">
        <v>100</v>
      </c>
      <c r="E16" s="74">
        <f>'Parab Camarones'!$E$50*D16/1000</f>
        <v>83.054830413680307</v>
      </c>
      <c r="F16" s="73">
        <v>2.9000000000000001E-2</v>
      </c>
      <c r="G16" s="75">
        <f t="shared" si="0"/>
        <v>2.4085900819967292</v>
      </c>
      <c r="H16" s="75">
        <f>$G$3*'Parab Camarones'!$E$71*G16</f>
        <v>0.115612323935843</v>
      </c>
      <c r="I16" s="75">
        <f>H16*'Parab Camarones'!$E$72</f>
        <v>2.8903080983960749</v>
      </c>
      <c r="J16" s="99">
        <f>'Parab Camarones'!$E$108*'Suministro de Alimento y O2'!I16/'Parab Camarones'!$E$114</f>
        <v>31.069036684232991</v>
      </c>
      <c r="K16" s="341">
        <f>J16*'Parab Camarones'!$E$176</f>
        <v>16.56400981718312</v>
      </c>
      <c r="L16" s="340"/>
      <c r="M16" s="881"/>
      <c r="N16" s="72" t="s">
        <v>72</v>
      </c>
      <c r="O16" s="75">
        <f t="shared" si="1"/>
        <v>0.46107321200054147</v>
      </c>
      <c r="P16" s="75">
        <f t="shared" si="2"/>
        <v>12.462999999999994</v>
      </c>
      <c r="Q16" s="75">
        <f>'Parab Camarones'!$E$59*'Suministro de Alimento y O2'!P16*'Suministro de Alimento y O2'!E16*24/(2*1000000)</f>
        <v>5.8504550103710806E-2</v>
      </c>
      <c r="R16" s="393">
        <f t="shared" si="3"/>
        <v>519.57776210425232</v>
      </c>
    </row>
    <row r="17" spans="2:18" ht="15.95" customHeight="1" x14ac:dyDescent="0.2">
      <c r="B17" s="879">
        <v>4</v>
      </c>
      <c r="C17" s="76" t="s">
        <v>74</v>
      </c>
      <c r="D17" s="76">
        <v>5</v>
      </c>
      <c r="E17" s="78">
        <f>'Parab Camarones'!$E$48*D17/1000</f>
        <v>4.4135843561313797</v>
      </c>
      <c r="F17" s="77">
        <v>5.2499999999999998E-2</v>
      </c>
      <c r="G17" s="71">
        <f t="shared" si="0"/>
        <v>0.23171317869689742</v>
      </c>
      <c r="H17" s="79">
        <f>$E$3*'Parab Camarones'!$E$71*G17</f>
        <v>1.6683348866176617E-2</v>
      </c>
      <c r="I17" s="79">
        <f>H17*'Parab Camarones'!$E$72</f>
        <v>0.41708372165441543</v>
      </c>
      <c r="J17" s="97">
        <f>'Parab Camarones'!$E$108*'Suministro de Alimento y O2'!I17/'Parab Camarones'!$E$114</f>
        <v>4.4833938138527456</v>
      </c>
      <c r="K17" s="339">
        <f>J17*'Parab Camarones'!$E$176</f>
        <v>2.3902568947250997</v>
      </c>
      <c r="L17" s="340"/>
      <c r="M17" s="879">
        <v>4</v>
      </c>
      <c r="N17" s="76" t="s">
        <v>74</v>
      </c>
      <c r="O17" s="79">
        <f t="shared" si="1"/>
        <v>4.8459825546420844E-2</v>
      </c>
      <c r="P17" s="79">
        <f>0.0014*(D17^2)-0.4384*D17+42.303</f>
        <v>40.146000000000001</v>
      </c>
      <c r="Q17" s="79">
        <f>'Parab Camarones'!$E$59*'Suministro de Alimento y O2'!P17*'Suministro de Alimento y O2'!E17*24/(2*1000000)</f>
        <v>1.0014652057361871E-2</v>
      </c>
      <c r="R17" s="78">
        <f t="shared" si="3"/>
        <v>58.474477603782717</v>
      </c>
    </row>
    <row r="18" spans="2:18" ht="15.95" customHeight="1" x14ac:dyDescent="0.2">
      <c r="B18" s="880"/>
      <c r="C18" s="68" t="s">
        <v>73</v>
      </c>
      <c r="D18" s="68">
        <v>35</v>
      </c>
      <c r="E18" s="70">
        <f>'Parab Camarones'!$E$49*D18/1000</f>
        <v>29.968237778132067</v>
      </c>
      <c r="F18" s="69">
        <v>3.7999999999999999E-2</v>
      </c>
      <c r="G18" s="71">
        <f t="shared" si="0"/>
        <v>1.1387930355690186</v>
      </c>
      <c r="H18" s="71">
        <f>$F$3*'Parab Camarones'!$E$71*G18</f>
        <v>6.3772409991865037E-2</v>
      </c>
      <c r="I18" s="71">
        <f>H18*'Parab Camarones'!$E$72</f>
        <v>1.5943102497966259</v>
      </c>
      <c r="J18" s="98">
        <f>'Parab Camarones'!$E$108*'Suministro de Alimento y O2'!I18/'Parab Camarones'!$E$114</f>
        <v>17.137855879263483</v>
      </c>
      <c r="K18" s="340">
        <f>J18*'Parab Camarones'!$E$176</f>
        <v>9.1368012441032604</v>
      </c>
      <c r="L18" s="340"/>
      <c r="M18" s="880"/>
      <c r="N18" s="68" t="s">
        <v>73</v>
      </c>
      <c r="O18" s="71">
        <f t="shared" si="1"/>
        <v>0.22337453300851021</v>
      </c>
      <c r="P18" s="71">
        <f t="shared" si="2"/>
        <v>28.673999999999996</v>
      </c>
      <c r="Q18" s="71">
        <f>'Parab Camarones'!$E$59*'Suministro de Alimento y O2'!P18*'Suministro de Alimento y O2'!E18*24/(2*1000000)</f>
        <v>4.8568158812834973E-2</v>
      </c>
      <c r="R18" s="70">
        <f t="shared" si="3"/>
        <v>271.94269182134519</v>
      </c>
    </row>
    <row r="19" spans="2:18" ht="15.95" customHeight="1" x14ac:dyDescent="0.2">
      <c r="B19" s="881"/>
      <c r="C19" s="72" t="s">
        <v>72</v>
      </c>
      <c r="D19" s="72">
        <v>120</v>
      </c>
      <c r="E19" s="74">
        <f>'Parab Camarones'!$E$50*D19/1000</f>
        <v>99.665796496416363</v>
      </c>
      <c r="F19" s="73">
        <v>2.5999999999999999E-2</v>
      </c>
      <c r="G19" s="75">
        <f t="shared" si="0"/>
        <v>2.5913107089068252</v>
      </c>
      <c r="H19" s="75">
        <f>$G$3*'Parab Camarones'!$E$71*G19</f>
        <v>0.12438291402752762</v>
      </c>
      <c r="I19" s="75">
        <f>H19*'Parab Camarones'!$E$72</f>
        <v>3.1095728506881906</v>
      </c>
      <c r="J19" s="99">
        <f>'Parab Camarones'!$E$108*'Suministro de Alimento y O2'!I19/'Parab Camarones'!$E$114</f>
        <v>33.425998087864457</v>
      </c>
      <c r="K19" s="341">
        <f>J19*'Parab Camarones'!$E$176</f>
        <v>17.820589872279772</v>
      </c>
      <c r="L19" s="340"/>
      <c r="M19" s="881"/>
      <c r="N19" s="72" t="s">
        <v>72</v>
      </c>
      <c r="O19" s="75">
        <f t="shared" si="1"/>
        <v>0.52036159800512882</v>
      </c>
      <c r="P19" s="75">
        <f t="shared" si="2"/>
        <v>9.8549999999999898</v>
      </c>
      <c r="Q19" s="75">
        <f>'Parab Camarones'!$E$59*'Suministro de Alimento y O2'!P19*'Suministro de Alimento y O2'!E19*24/(2*1000000)</f>
        <v>5.5514307111167741E-2</v>
      </c>
      <c r="R19" s="393">
        <f t="shared" si="3"/>
        <v>575.87590511629662</v>
      </c>
    </row>
    <row r="20" spans="2:18" ht="15.95" customHeight="1" x14ac:dyDescent="0.2">
      <c r="B20" s="879">
        <v>5</v>
      </c>
      <c r="C20" s="76" t="s">
        <v>74</v>
      </c>
      <c r="D20" s="76">
        <v>8</v>
      </c>
      <c r="E20" s="78">
        <f>'Parab Camarones'!$E$48*D20/1000</f>
        <v>7.0617349698102077</v>
      </c>
      <c r="F20" s="77">
        <v>4.8000000000000001E-2</v>
      </c>
      <c r="G20" s="71">
        <f t="shared" si="0"/>
        <v>0.33896327855088998</v>
      </c>
      <c r="H20" s="79">
        <f>$E$3*'Parab Camarones'!$E$71*G20</f>
        <v>2.4405356055664081E-2</v>
      </c>
      <c r="I20" s="79">
        <f>H20*'Parab Camarones'!$E$72</f>
        <v>0.61013390139160206</v>
      </c>
      <c r="J20" s="97">
        <f>'Parab Camarones'!$E$108*'Suministro de Alimento y O2'!I20/'Parab Camarones'!$E$114</f>
        <v>6.558564664836017</v>
      </c>
      <c r="K20" s="339">
        <f>J20*'Parab Camarones'!$E$176</f>
        <v>3.496604371712146</v>
      </c>
      <c r="L20" s="340"/>
      <c r="M20" s="879">
        <v>5</v>
      </c>
      <c r="N20" s="76" t="s">
        <v>74</v>
      </c>
      <c r="O20" s="79">
        <f t="shared" si="1"/>
        <v>7.1521618465250181E-2</v>
      </c>
      <c r="P20" s="79">
        <f>0.0014*(D20^2)-0.4384*D20+42.303</f>
        <v>38.885399999999997</v>
      </c>
      <c r="Q20" s="79">
        <f>'Parab Camarones'!$E$59*'Suministro de Alimento y O2'!P20*'Suministro de Alimento y O2'!E20*24/(2*1000000)</f>
        <v>1.5520300946000667E-2</v>
      </c>
      <c r="R20" s="78">
        <f t="shared" si="3"/>
        <v>87.041919411250845</v>
      </c>
    </row>
    <row r="21" spans="2:18" ht="15.95" customHeight="1" x14ac:dyDescent="0.2">
      <c r="B21" s="880"/>
      <c r="C21" s="68" t="s">
        <v>73</v>
      </c>
      <c r="D21" s="68">
        <v>45</v>
      </c>
      <c r="E21" s="70">
        <f>'Parab Camarones'!$E$49*D21/1000</f>
        <v>38.530591429026941</v>
      </c>
      <c r="F21" s="69">
        <v>3.5999999999999997E-2</v>
      </c>
      <c r="G21" s="71">
        <f t="shared" si="0"/>
        <v>1.3871012914449699</v>
      </c>
      <c r="H21" s="71">
        <f>$F$3*'Parab Camarones'!$E$71*G21</f>
        <v>7.7677672320918309E-2</v>
      </c>
      <c r="I21" s="71">
        <f>H21*'Parab Camarones'!$E$72</f>
        <v>1.9419418080229578</v>
      </c>
      <c r="J21" s="98">
        <f>'Parab Camarones'!$E$108*'Suministro de Alimento y O2'!I21/'Parab Camarones'!$E$114</f>
        <v>20.87468159729838</v>
      </c>
      <c r="K21" s="340">
        <f>J21*'Parab Camarones'!$E$176</f>
        <v>11.129036101840063</v>
      </c>
      <c r="L21" s="340"/>
      <c r="M21" s="880"/>
      <c r="N21" s="68" t="s">
        <v>73</v>
      </c>
      <c r="O21" s="71">
        <f t="shared" si="1"/>
        <v>0.26964970022976309</v>
      </c>
      <c r="P21" s="71">
        <f t="shared" si="2"/>
        <v>25.409999999999997</v>
      </c>
      <c r="Q21" s="71">
        <f>'Parab Camarones'!$E$59*'Suministro de Alimento y O2'!P21*'Suministro de Alimento y O2'!E21*24/(2*1000000)</f>
        <v>5.5336602790518184E-2</v>
      </c>
      <c r="R21" s="70">
        <f t="shared" si="3"/>
        <v>324.98630302028124</v>
      </c>
    </row>
    <row r="22" spans="2:18" ht="15.95" customHeight="1" x14ac:dyDescent="0.2">
      <c r="B22" s="881"/>
      <c r="C22" s="72" t="s">
        <v>72</v>
      </c>
      <c r="D22" s="72">
        <v>180</v>
      </c>
      <c r="E22" s="74">
        <f>'Parab Camarones'!$E$50*D22/1000</f>
        <v>149.49869474462454</v>
      </c>
      <c r="F22" s="73">
        <v>2.5000000000000001E-2</v>
      </c>
      <c r="G22" s="96">
        <f t="shared" si="0"/>
        <v>3.7374673686156137</v>
      </c>
      <c r="H22" s="75">
        <f>$G$3*'Parab Camarones'!$E$71*G22</f>
        <v>0.17939843369354946</v>
      </c>
      <c r="I22" s="75">
        <f>H22*'Parab Camarones'!$E$72</f>
        <v>4.4849608423387366</v>
      </c>
      <c r="J22" s="99">
        <f>'Parab Camarones'!$E$108*'Suministro de Alimento y O2'!I22/'Parab Camarones'!$E$114</f>
        <v>48.210574165189122</v>
      </c>
      <c r="K22" s="341">
        <f>J22*'Parab Camarones'!$E$176</f>
        <v>25.702773854249671</v>
      </c>
      <c r="L22" s="340"/>
      <c r="M22" s="881"/>
      <c r="N22" s="72" t="s">
        <v>72</v>
      </c>
      <c r="O22" s="75">
        <f t="shared" si="1"/>
        <v>0.67070529098658749</v>
      </c>
      <c r="P22" s="75">
        <f t="shared" si="2"/>
        <v>8.7509999999999906</v>
      </c>
      <c r="Q22" s="75">
        <f>'Parab Camarones'!$E$59*'Suministro de Alimento y O2'!P22*'Suministro de Alimento y O2'!E22*24/(2*1000000)</f>
        <v>7.3943029152180942E-2</v>
      </c>
      <c r="R22" s="393">
        <f t="shared" si="3"/>
        <v>744.64832013876844</v>
      </c>
    </row>
    <row r="23" spans="2:18" ht="15.95" customHeight="1" x14ac:dyDescent="0.2">
      <c r="B23" s="879">
        <v>6</v>
      </c>
      <c r="C23" s="76" t="s">
        <v>74</v>
      </c>
      <c r="D23" s="76">
        <v>12</v>
      </c>
      <c r="E23" s="78">
        <f>'Parab Camarones'!$E$48*D23/1000</f>
        <v>10.592602454715312</v>
      </c>
      <c r="F23" s="77">
        <v>4.5999999999999999E-2</v>
      </c>
      <c r="G23" s="71">
        <f t="shared" si="0"/>
        <v>0.48725971291690434</v>
      </c>
      <c r="H23" s="79">
        <f>$E$3*'Parab Camarones'!$E$71*G23</f>
        <v>3.508269933001712E-2</v>
      </c>
      <c r="I23" s="79">
        <f>H23*'Parab Camarones'!$E$72</f>
        <v>0.87706748325042794</v>
      </c>
      <c r="J23" s="97">
        <f>'Parab Camarones'!$E$108*'Suministro de Alimento y O2'!I23/'Parab Camarones'!$E$114</f>
        <v>9.4279367057017733</v>
      </c>
      <c r="K23" s="339">
        <f>J23*'Parab Camarones'!$E$176</f>
        <v>5.026368784336209</v>
      </c>
      <c r="L23" s="340"/>
      <c r="M23" s="879">
        <v>6</v>
      </c>
      <c r="N23" s="76" t="s">
        <v>74</v>
      </c>
      <c r="O23" s="79">
        <f t="shared" si="1"/>
        <v>9.9500013270475585E-2</v>
      </c>
      <c r="P23" s="79">
        <f>0.0014*(D23^2)-0.4384*D23+42.303</f>
        <v>37.2438</v>
      </c>
      <c r="Q23" s="79">
        <f>'Parab Camarones'!$E$59*'Suministro de Alimento y O2'!P23*'Suministro de Alimento y O2'!E23*24/(2*1000000)</f>
        <v>2.2297635527961386E-2</v>
      </c>
      <c r="R23" s="78">
        <f t="shared" si="3"/>
        <v>121.79764879843697</v>
      </c>
    </row>
    <row r="24" spans="2:18" ht="15.95" customHeight="1" x14ac:dyDescent="0.2">
      <c r="B24" s="880"/>
      <c r="C24" s="68" t="s">
        <v>73</v>
      </c>
      <c r="D24" s="68">
        <v>55</v>
      </c>
      <c r="E24" s="70">
        <f>'Parab Camarones'!$E$49*D24/1000</f>
        <v>47.092945079921826</v>
      </c>
      <c r="F24" s="69">
        <v>3.4000000000000002E-2</v>
      </c>
      <c r="G24" s="71">
        <f t="shared" si="0"/>
        <v>1.6011601327173421</v>
      </c>
      <c r="H24" s="71">
        <f>$F$3*'Parab Camarones'!$E$71*G24</f>
        <v>8.9664967432171144E-2</v>
      </c>
      <c r="I24" s="71">
        <f>H24*'Parab Camarones'!$E$72</f>
        <v>2.2416241858042785</v>
      </c>
      <c r="J24" s="98">
        <f>'Parab Camarones'!$E$108*'Suministro de Alimento y O2'!I24/'Parab Camarones'!$E$114</f>
        <v>24.096083078362945</v>
      </c>
      <c r="K24" s="340">
        <f>J24*'Parab Camarones'!$E$176</f>
        <v>12.846479944716615</v>
      </c>
      <c r="L24" s="340"/>
      <c r="M24" s="880"/>
      <c r="N24" s="68" t="s">
        <v>73</v>
      </c>
      <c r="O24" s="71">
        <f t="shared" si="1"/>
        <v>0.31244814047490271</v>
      </c>
      <c r="P24" s="71">
        <f t="shared" si="2"/>
        <v>22.425999999999995</v>
      </c>
      <c r="Q24" s="71">
        <f>'Parab Camarones'!$E$59*'Suministro de Alimento y O2'!P24*'Suministro de Alimento y O2'!E24*24/(2*1000000)</f>
        <v>5.9691132957198703E-2</v>
      </c>
      <c r="R24" s="70">
        <f t="shared" si="3"/>
        <v>372.13927343210139</v>
      </c>
    </row>
    <row r="25" spans="2:18" ht="15.95" customHeight="1" x14ac:dyDescent="0.2">
      <c r="B25" s="881"/>
      <c r="C25" s="72" t="s">
        <v>72</v>
      </c>
      <c r="D25" s="72">
        <v>210</v>
      </c>
      <c r="E25" s="74">
        <f>'Parab Camarones'!$E$50*D25/1000</f>
        <v>174.41514386872862</v>
      </c>
      <c r="F25" s="73">
        <v>2.4E-2</v>
      </c>
      <c r="G25" s="75">
        <f t="shared" si="0"/>
        <v>4.1859634528494869</v>
      </c>
      <c r="H25" s="75">
        <f>$G$3*'Parab Camarones'!$E$71*G25</f>
        <v>0.20092624573677537</v>
      </c>
      <c r="I25" s="75">
        <f>H25*'Parab Camarones'!$E$72</f>
        <v>5.0231561434193841</v>
      </c>
      <c r="J25" s="99">
        <f>'Parab Camarones'!$E$108*'Suministro de Alimento y O2'!I25/'Parab Camarones'!$E$114</f>
        <v>53.995843065011805</v>
      </c>
      <c r="K25" s="341">
        <f>J25*'Parab Camarones'!$E$176</f>
        <v>28.787106716759624</v>
      </c>
      <c r="L25" s="340"/>
      <c r="M25" s="881"/>
      <c r="N25" s="72" t="s">
        <v>72</v>
      </c>
      <c r="O25" s="75">
        <f t="shared" si="1"/>
        <v>0.73377168819586402</v>
      </c>
      <c r="P25" s="75">
        <f t="shared" si="2"/>
        <v>11.978999999999992</v>
      </c>
      <c r="Q25" s="75">
        <f>'Parab Camarones'!$E$59*'Suministro de Alimento y O2'!P25*'Suministro de Alimento y O2'!E25*24/(2*1000000)</f>
        <v>0.11808831035496575</v>
      </c>
      <c r="R25" s="393">
        <f t="shared" si="3"/>
        <v>851.85999855082969</v>
      </c>
    </row>
    <row r="26" spans="2:18" ht="15.95" customHeight="1" x14ac:dyDescent="0.2">
      <c r="B26" s="882" t="s">
        <v>356</v>
      </c>
      <c r="C26" s="883"/>
      <c r="D26" s="146"/>
      <c r="E26" s="361">
        <f>SUM(E23:E25)</f>
        <v>232.10069140336577</v>
      </c>
      <c r="F26" s="360"/>
      <c r="G26" s="362">
        <f>SUM(G23:G25)</f>
        <v>6.274383298483734</v>
      </c>
      <c r="H26" s="362">
        <f>SUM(H23:H25)</f>
        <v>0.3256739124989636</v>
      </c>
      <c r="I26" s="362">
        <f>SUM(I23:I25)</f>
        <v>8.1418478124740901</v>
      </c>
      <c r="J26" s="362">
        <f t="shared" ref="J26" si="4">SUM(J23:J25)</f>
        <v>87.519862849076532</v>
      </c>
      <c r="K26" s="363">
        <f>SUM(K23:K25)</f>
        <v>46.659955445812443</v>
      </c>
      <c r="L26" s="71"/>
      <c r="M26" s="882" t="s">
        <v>356</v>
      </c>
      <c r="N26" s="883"/>
      <c r="O26" s="363">
        <f>SUM(O23:O25)</f>
        <v>1.1457198419412422</v>
      </c>
    </row>
    <row r="27" spans="2:18" ht="15.95" customHeight="1" x14ac:dyDescent="0.2">
      <c r="B27" s="100"/>
      <c r="C27" s="382"/>
      <c r="E27" s="383"/>
      <c r="F27" s="67"/>
      <c r="G27" s="384"/>
      <c r="H27" s="384"/>
      <c r="I27" s="384"/>
      <c r="J27" s="384"/>
      <c r="K27" s="381"/>
      <c r="L27" s="381"/>
      <c r="M27" s="381"/>
      <c r="N27" s="381"/>
      <c r="O27" s="381"/>
      <c r="Q27" s="34"/>
      <c r="R27" s="34"/>
    </row>
    <row r="28" spans="2:18" ht="15.95" customHeight="1" x14ac:dyDescent="0.2">
      <c r="B28" s="100"/>
      <c r="C28" s="382"/>
      <c r="E28" s="399"/>
      <c r="F28" s="166"/>
      <c r="G28" s="384"/>
      <c r="H28" s="384"/>
      <c r="I28" s="384"/>
      <c r="J28" s="384"/>
      <c r="L28" s="399"/>
      <c r="M28" s="399"/>
      <c r="O28" s="389" t="s">
        <v>376</v>
      </c>
      <c r="P28" s="311"/>
      <c r="Q28" s="311"/>
      <c r="R28" s="34"/>
    </row>
    <row r="29" spans="2:18" ht="28.5" customHeight="1" x14ac:dyDescent="0.2">
      <c r="B29" s="100"/>
      <c r="C29" s="382"/>
      <c r="E29" s="399"/>
      <c r="F29" s="166"/>
      <c r="G29" s="384"/>
      <c r="H29" s="384"/>
      <c r="I29" s="384"/>
      <c r="J29" s="384"/>
      <c r="L29" s="399"/>
      <c r="M29" s="399"/>
      <c r="O29" s="388" t="s">
        <v>377</v>
      </c>
      <c r="P29" s="386" t="s">
        <v>177</v>
      </c>
      <c r="Q29" s="384"/>
      <c r="R29" s="34"/>
    </row>
    <row r="30" spans="2:18" ht="33.75" customHeight="1" x14ac:dyDescent="0.2">
      <c r="B30" s="100"/>
      <c r="C30" s="382"/>
      <c r="E30" s="166"/>
      <c r="F30" s="400"/>
      <c r="G30" s="384"/>
      <c r="H30" s="384"/>
      <c r="I30" s="384"/>
      <c r="J30" s="384"/>
      <c r="L30" s="166"/>
      <c r="M30" s="166"/>
      <c r="O30" s="388" t="s">
        <v>378</v>
      </c>
      <c r="P30" s="386">
        <v>1</v>
      </c>
      <c r="Q30" s="384"/>
      <c r="R30" s="34"/>
    </row>
    <row r="31" spans="2:18" ht="15.95" customHeight="1" x14ac:dyDescent="0.2">
      <c r="B31" s="100"/>
      <c r="C31" s="382"/>
      <c r="E31" s="166"/>
      <c r="F31" s="166"/>
      <c r="I31" s="384"/>
      <c r="J31" s="384"/>
      <c r="L31" s="166"/>
      <c r="M31" s="166"/>
      <c r="O31" s="386">
        <v>20</v>
      </c>
      <c r="P31" s="387">
        <v>0.24</v>
      </c>
      <c r="Q31" s="384"/>
      <c r="R31" s="34"/>
    </row>
    <row r="32" spans="2:18" ht="15.95" customHeight="1" x14ac:dyDescent="0.2">
      <c r="B32" s="100"/>
      <c r="C32" s="382"/>
      <c r="E32" s="166"/>
      <c r="F32" s="166"/>
      <c r="G32" s="384"/>
      <c r="H32" s="384"/>
      <c r="I32" s="384"/>
      <c r="J32" s="384"/>
      <c r="L32" s="166"/>
      <c r="M32" s="166"/>
      <c r="O32" s="386">
        <v>25</v>
      </c>
      <c r="P32" s="386">
        <v>0.25600000000000001</v>
      </c>
    </row>
    <row r="33" spans="2:21" ht="15.95" customHeight="1" x14ac:dyDescent="0.2">
      <c r="E33" s="166"/>
      <c r="F33" s="166"/>
      <c r="I33" s="67"/>
      <c r="J33" s="67"/>
      <c r="L33" s="166"/>
      <c r="M33" s="166"/>
      <c r="O33" s="386">
        <v>27.5</v>
      </c>
      <c r="P33" s="386">
        <v>0.28599999999999998</v>
      </c>
      <c r="Q33" s="384"/>
      <c r="S33" s="34"/>
      <c r="U33" s="34"/>
    </row>
    <row r="34" spans="2:21" ht="15.95" customHeight="1" x14ac:dyDescent="0.2">
      <c r="E34" s="385"/>
      <c r="F34" s="166"/>
      <c r="I34" s="67"/>
      <c r="J34" s="67"/>
      <c r="L34" s="385"/>
      <c r="M34" s="385"/>
      <c r="O34" s="386">
        <v>30</v>
      </c>
      <c r="P34" s="386">
        <v>0.316</v>
      </c>
      <c r="S34" s="34"/>
      <c r="U34" s="34"/>
    </row>
    <row r="35" spans="2:21" ht="15.95" customHeight="1" x14ac:dyDescent="0.2">
      <c r="E35" s="166"/>
      <c r="F35" s="166"/>
      <c r="I35" s="67"/>
      <c r="J35" s="67"/>
      <c r="K35" s="67"/>
      <c r="L35" s="67"/>
      <c r="M35" s="67"/>
      <c r="O35" s="385" t="s">
        <v>518</v>
      </c>
      <c r="P35" s="166"/>
      <c r="S35" s="34"/>
      <c r="U35" s="34"/>
    </row>
    <row r="36" spans="2:21" ht="15.95" customHeight="1" x14ac:dyDescent="0.2">
      <c r="G36" s="311" t="s">
        <v>589</v>
      </c>
      <c r="R36" s="65"/>
      <c r="T36" s="65"/>
      <c r="U36" s="34"/>
    </row>
    <row r="37" spans="2:21" ht="15.95" customHeight="1" x14ac:dyDescent="0.25">
      <c r="B37" s="887" t="s">
        <v>580</v>
      </c>
      <c r="C37" s="888"/>
      <c r="D37" s="889"/>
      <c r="E37" s="82" t="s">
        <v>335</v>
      </c>
      <c r="F37" s="82" t="s">
        <v>73</v>
      </c>
      <c r="G37" s="82" t="s">
        <v>72</v>
      </c>
      <c r="M37" s="389" t="s">
        <v>593</v>
      </c>
      <c r="U37" s="34"/>
    </row>
    <row r="38" spans="2:21" ht="15.95" customHeight="1" x14ac:dyDescent="0.2">
      <c r="B38" s="890"/>
      <c r="C38" s="891"/>
      <c r="D38" s="892"/>
      <c r="E38" s="110">
        <v>0.45</v>
      </c>
      <c r="F38" s="110">
        <v>0.4</v>
      </c>
      <c r="G38" s="110">
        <v>0.4</v>
      </c>
      <c r="U38" s="34"/>
    </row>
    <row r="39" spans="2:21" ht="62.25" customHeight="1" x14ac:dyDescent="0.2">
      <c r="B39" s="90" t="s">
        <v>112</v>
      </c>
      <c r="C39" s="91" t="s">
        <v>77</v>
      </c>
      <c r="D39" s="91" t="s">
        <v>399</v>
      </c>
      <c r="E39" s="91" t="s">
        <v>398</v>
      </c>
      <c r="F39" s="91" t="s">
        <v>579</v>
      </c>
      <c r="G39" s="91" t="s">
        <v>581</v>
      </c>
      <c r="H39" s="91" t="s">
        <v>331</v>
      </c>
      <c r="I39" s="91" t="s">
        <v>136</v>
      </c>
      <c r="J39" s="91" t="s">
        <v>146</v>
      </c>
      <c r="K39" s="91" t="s">
        <v>346</v>
      </c>
      <c r="L39" s="401"/>
      <c r="M39" s="90" t="s">
        <v>112</v>
      </c>
      <c r="N39" s="91" t="s">
        <v>77</v>
      </c>
      <c r="O39" s="91" t="s">
        <v>380</v>
      </c>
      <c r="P39" s="91" t="s">
        <v>381</v>
      </c>
      <c r="Q39" s="91" t="s">
        <v>382</v>
      </c>
      <c r="R39" s="91" t="s">
        <v>389</v>
      </c>
    </row>
    <row r="40" spans="2:21" ht="15.95" customHeight="1" x14ac:dyDescent="0.2">
      <c r="B40" s="92"/>
      <c r="C40" s="93"/>
      <c r="D40" s="93" t="s">
        <v>78</v>
      </c>
      <c r="E40" s="94" t="s">
        <v>79</v>
      </c>
      <c r="F40" s="94" t="s">
        <v>78</v>
      </c>
      <c r="G40" s="95" t="s">
        <v>82</v>
      </c>
      <c r="H40" s="95" t="s">
        <v>141</v>
      </c>
      <c r="I40" s="95" t="s">
        <v>82</v>
      </c>
      <c r="J40" s="95" t="s">
        <v>133</v>
      </c>
      <c r="K40" s="95" t="s">
        <v>133</v>
      </c>
      <c r="L40" s="402"/>
      <c r="M40" s="92"/>
      <c r="N40" s="93"/>
      <c r="O40" s="95" t="s">
        <v>372</v>
      </c>
      <c r="P40" s="95" t="s">
        <v>82</v>
      </c>
      <c r="Q40" s="95" t="s">
        <v>82</v>
      </c>
      <c r="R40" s="95" t="s">
        <v>367</v>
      </c>
      <c r="U40" s="34"/>
    </row>
    <row r="41" spans="2:21" ht="15.95" customHeight="1" x14ac:dyDescent="0.2">
      <c r="B41" s="879">
        <v>1</v>
      </c>
      <c r="C41" s="330" t="s">
        <v>332</v>
      </c>
      <c r="D41" s="76">
        <v>0.6</v>
      </c>
      <c r="E41" s="78">
        <f>'Parab Camarones'!$E$28*D41/1000</f>
        <v>26.481506136788276</v>
      </c>
      <c r="F41" s="77">
        <v>7.0000000000000007E-2</v>
      </c>
      <c r="G41" s="79">
        <f t="shared" ref="G41:G58" si="5">F41*E41</f>
        <v>1.8537054295751796</v>
      </c>
      <c r="H41" s="79">
        <f>$E$38*'Parab Camarones'!$E$71*G41</f>
        <v>0.13346679092941294</v>
      </c>
      <c r="I41" s="79">
        <f>H41*'Parab Camarones'!$E$72</f>
        <v>3.3366697732353234</v>
      </c>
      <c r="J41" s="97">
        <f>'Parab Camarones'!$E$108*'Suministro de Alimento y O2'!I41/'Parab Camarones'!$E$114</f>
        <v>35.867150510821965</v>
      </c>
      <c r="K41" s="339">
        <f>J41*'Parab Camarones'!$E$176</f>
        <v>19.122055157800798</v>
      </c>
      <c r="L41" s="340"/>
      <c r="M41" s="879">
        <v>1</v>
      </c>
      <c r="N41" s="330" t="s">
        <v>332</v>
      </c>
      <c r="O41" s="79">
        <f>0.2767*((1-'Parab Camarones'!$E$57)*D41)^1.02075</f>
        <v>3.6647194790410897E-2</v>
      </c>
      <c r="P41" s="79">
        <f>24* O41*'Parab Camarones'!$E$28/1000000</f>
        <v>3.8818916549533664E-2</v>
      </c>
      <c r="Q41" s="79">
        <f>E41*(1-'Parab Camarones'!$E$60)*(1-'Parab Camarones'!$E$57)*'Parab Camarones'!$E$58*'Parab Camarones'!$E$59*(24/1000)</f>
        <v>6.884979743515858E-2</v>
      </c>
      <c r="R41" s="78">
        <f>1000*(P41+Q41)</f>
        <v>107.66871398469225</v>
      </c>
      <c r="U41" s="34"/>
    </row>
    <row r="42" spans="2:21" ht="15.95" customHeight="1" x14ac:dyDescent="0.2">
      <c r="B42" s="880"/>
      <c r="C42" s="68" t="s">
        <v>73</v>
      </c>
      <c r="D42" s="68">
        <f>D56+1.37</f>
        <v>8.82</v>
      </c>
      <c r="E42" s="70">
        <f>'Parab Camarones'!$E$29*D42/1000</f>
        <v>377.59979600446405</v>
      </c>
      <c r="F42" s="69">
        <v>2.5999999999999999E-2</v>
      </c>
      <c r="G42" s="71">
        <f t="shared" si="5"/>
        <v>9.8175946961160641</v>
      </c>
      <c r="H42" s="71">
        <f>$F$38*'Parab Camarones'!$E$71*G42</f>
        <v>0.62832606055142814</v>
      </c>
      <c r="I42" s="71">
        <f>H42*'Parab Camarones'!$E$72</f>
        <v>15.708151513785703</v>
      </c>
      <c r="J42" s="98">
        <f>'Parab Camarones'!$E$108*'Suministro de Alimento y O2'!I42/'Parab Camarones'!$E$114</f>
        <v>168.8529800314802</v>
      </c>
      <c r="K42" s="340">
        <f>J42*'Parab Camarones'!$E$176</f>
        <v>90.021536468217377</v>
      </c>
      <c r="L42" s="340"/>
      <c r="M42" s="880"/>
      <c r="N42" s="68" t="s">
        <v>73</v>
      </c>
      <c r="O42" s="71">
        <f>0.2767*((1-'Parab Camarones'!$E$57)*D42)^1.02075</f>
        <v>0.56961301783217444</v>
      </c>
      <c r="P42" s="71">
        <f>24*O42*'Parab Camarones'!$E$29/1000000</f>
        <v>0.585267372339908</v>
      </c>
      <c r="Q42" s="71">
        <f>E42*(1-'Parab Camarones'!$E$60)*(1-'Parab Camarones'!$E$57)*'Parab Camarones'!$E$58*'Parab Camarones'!$E$59*(24/1000)</f>
        <v>0.98172926162792618</v>
      </c>
      <c r="R42" s="70">
        <f t="shared" ref="R42:R58" si="6">1000*(P42+Q42)</f>
        <v>1566.9966339678342</v>
      </c>
      <c r="T42" s="65"/>
      <c r="U42" s="34"/>
    </row>
    <row r="43" spans="2:21" ht="15.95" customHeight="1" x14ac:dyDescent="0.2">
      <c r="B43" s="881"/>
      <c r="C43" s="72" t="s">
        <v>72</v>
      </c>
      <c r="D43" s="72">
        <f>D57+1.37</f>
        <v>17.040000000000006</v>
      </c>
      <c r="E43" s="74">
        <f>'Parab Camarones'!$E$30*D43/1000</f>
        <v>707.62715512455634</v>
      </c>
      <c r="F43" s="73">
        <v>0.02</v>
      </c>
      <c r="G43" s="96">
        <f t="shared" si="5"/>
        <v>14.152543102491126</v>
      </c>
      <c r="H43" s="75">
        <f>$G$38*'Parab Camarones'!$E$71*G43</f>
        <v>0.90576275855943211</v>
      </c>
      <c r="I43" s="75">
        <f>H43*'Parab Camarones'!$E$72</f>
        <v>22.644068963985802</v>
      </c>
      <c r="J43" s="99">
        <f>'Parab Camarones'!$E$108*'Suministro de Alimento y O2'!I43/'Parab Camarones'!$E$114</f>
        <v>243.40983222957712</v>
      </c>
      <c r="K43" s="341">
        <f>J43*'Parab Camarones'!$E$176</f>
        <v>129.77044932634502</v>
      </c>
      <c r="L43" s="340"/>
      <c r="M43" s="881"/>
      <c r="N43" s="72" t="s">
        <v>72</v>
      </c>
      <c r="O43" s="75">
        <f>0.2767*((1-'Parab Camarones'!$E$57)*D43)^1.02075</f>
        <v>1.1156177929267537</v>
      </c>
      <c r="P43" s="75">
        <f>24*O43*'Parab Camarones'!$E$30/1000000</f>
        <v>1.1118893591761898</v>
      </c>
      <c r="Q43" s="75">
        <f>E43*(1-'Parab Camarones'!$E$60)*(1-'Parab Camarones'!$E$57)*'Parab Camarones'!$E$58*'Parab Camarones'!$E$59*(24/1000)</f>
        <v>1.8397739931514365</v>
      </c>
      <c r="R43" s="393">
        <f t="shared" si="6"/>
        <v>2951.6633523276264</v>
      </c>
      <c r="U43" s="34"/>
    </row>
    <row r="44" spans="2:21" ht="15.95" customHeight="1" x14ac:dyDescent="0.2">
      <c r="B44" s="879">
        <v>2</v>
      </c>
      <c r="C44" s="330" t="s">
        <v>332</v>
      </c>
      <c r="D44" s="330">
        <f t="shared" ref="D44:D58" si="7">D41+1.37</f>
        <v>1.9700000000000002</v>
      </c>
      <c r="E44" s="78">
        <f>'Parab Camarones'!$E$28*D44/1000</f>
        <v>86.947611815788193</v>
      </c>
      <c r="F44" s="77">
        <v>0.06</v>
      </c>
      <c r="G44" s="71">
        <f t="shared" si="5"/>
        <v>5.216856708947291</v>
      </c>
      <c r="H44" s="79">
        <f>$E$38*'Parab Camarones'!$E$71*G44</f>
        <v>0.375613683044205</v>
      </c>
      <c r="I44" s="79">
        <f>H44*'Parab Camarones'!$E$72</f>
        <v>9.3903420761051244</v>
      </c>
      <c r="J44" s="97">
        <f>'Parab Camarones'!$E$108*'Suministro de Alimento y O2'!I44/'Parab Camarones'!$E$114</f>
        <v>100.94040929474181</v>
      </c>
      <c r="K44" s="339">
        <f>J44*'Parab Camarones'!$E$176</f>
        <v>53.814926658382241</v>
      </c>
      <c r="L44" s="394"/>
      <c r="M44" s="879">
        <v>2</v>
      </c>
      <c r="N44" s="330" t="s">
        <v>332</v>
      </c>
      <c r="O44" s="381">
        <f>0.2767*((1-'Parab Camarones'!$E$57)*D44)^1.02075</f>
        <v>0.12333014670596619</v>
      </c>
      <c r="P44" s="79">
        <f>24* O44*'Parab Camarones'!$E$28/1000000</f>
        <v>0.13063872147380171</v>
      </c>
      <c r="Q44" s="79">
        <f>E44*(1-'Parab Camarones'!$E$60)*(1-'Parab Camarones'!$E$57)*'Parab Camarones'!$E$58*'Parab Camarones'!$E$59*(24/1000)</f>
        <v>0.22605683491210402</v>
      </c>
      <c r="R44" s="78">
        <f t="shared" si="6"/>
        <v>356.69555638590572</v>
      </c>
    </row>
    <row r="45" spans="2:21" ht="15.95" customHeight="1" x14ac:dyDescent="0.2">
      <c r="B45" s="880"/>
      <c r="C45" s="68" t="s">
        <v>73</v>
      </c>
      <c r="D45" s="68">
        <f t="shared" si="7"/>
        <v>10.190000000000001</v>
      </c>
      <c r="E45" s="70">
        <f>'Parab Camarones'!$E$29*D45/1000</f>
        <v>436.25191851309404</v>
      </c>
      <c r="F45" s="69">
        <v>2.4E-2</v>
      </c>
      <c r="G45" s="71">
        <f t="shared" si="5"/>
        <v>10.470046044314257</v>
      </c>
      <c r="H45" s="71">
        <f>$F$38*'Parab Camarones'!$E$71*G45</f>
        <v>0.67008294683611247</v>
      </c>
      <c r="I45" s="71">
        <f>H45*'Parab Camarones'!$E$72</f>
        <v>16.75207367090281</v>
      </c>
      <c r="J45" s="98">
        <f>'Parab Camarones'!$E$108*'Suministro de Alimento y O2'!I45/'Parab Camarones'!$E$114</f>
        <v>180.0745019906629</v>
      </c>
      <c r="K45" s="340">
        <f>J45*'Parab Camarones'!$E$176</f>
        <v>96.004129420317682</v>
      </c>
      <c r="L45" s="340"/>
      <c r="M45" s="880"/>
      <c r="N45" s="68" t="s">
        <v>73</v>
      </c>
      <c r="O45" s="71">
        <f>0.2767*((1-'Parab Camarones'!$E$57)*D45)^1.02075</f>
        <v>0.6600649106604235</v>
      </c>
      <c r="P45" s="71">
        <f>24*O45*'Parab Camarones'!$E$29/1000000</f>
        <v>0.67820510371450538</v>
      </c>
      <c r="Q45" s="71">
        <f>E45*(1-'Parab Camarones'!$E$60)*(1-'Parab Camarones'!$E$57)*'Parab Camarones'!$E$58*'Parab Camarones'!$E$59*(24/1000)</f>
        <v>1.1342200879805635</v>
      </c>
      <c r="R45" s="70">
        <f t="shared" si="6"/>
        <v>1812.4251916950689</v>
      </c>
    </row>
    <row r="46" spans="2:21" ht="15.95" customHeight="1" x14ac:dyDescent="0.2">
      <c r="B46" s="881"/>
      <c r="C46" s="72" t="s">
        <v>72</v>
      </c>
      <c r="D46" s="72">
        <f t="shared" si="7"/>
        <v>18.410000000000007</v>
      </c>
      <c r="E46" s="74">
        <f>'Parab Camarones'!$E$30*D46/1000</f>
        <v>764.51971395792748</v>
      </c>
      <c r="F46" s="73">
        <v>0.02</v>
      </c>
      <c r="G46" s="96">
        <f t="shared" si="5"/>
        <v>15.29039427915855</v>
      </c>
      <c r="H46" s="75">
        <f>$G$38*'Parab Camarones'!$E$71*G46</f>
        <v>0.97858523386614715</v>
      </c>
      <c r="I46" s="75">
        <f>H46*'Parab Camarones'!$E$72</f>
        <v>24.46463084665368</v>
      </c>
      <c r="J46" s="99">
        <f>'Parab Camarones'!$E$108*'Suministro de Alimento y O2'!I46/'Parab Camarones'!$E$114</f>
        <v>262.97975418700207</v>
      </c>
      <c r="K46" s="341">
        <f>J46*'Parab Camarones'!$E$176</f>
        <v>140.20387160199601</v>
      </c>
      <c r="L46" s="340"/>
      <c r="M46" s="881"/>
      <c r="N46" s="72" t="s">
        <v>72</v>
      </c>
      <c r="O46" s="75">
        <f>0.2767*((1-'Parab Camarones'!$E$57)*D46)^1.02075</f>
        <v>1.2072480216181296</v>
      </c>
      <c r="P46" s="75">
        <f>24*O46*'Parab Camarones'!$E$30/1000000</f>
        <v>1.2032133564329375</v>
      </c>
      <c r="Q46" s="75">
        <f>E46*(1-'Parab Camarones'!$E$60)*(1-'Parab Camarones'!$E$57)*'Parab Camarones'!$E$58*'Parab Camarones'!$E$59*(24/1000)</f>
        <v>1.9876900947134952</v>
      </c>
      <c r="R46" s="393">
        <f t="shared" si="6"/>
        <v>3190.9034511464329</v>
      </c>
      <c r="U46" s="34"/>
    </row>
    <row r="47" spans="2:21" ht="15.95" customHeight="1" x14ac:dyDescent="0.2">
      <c r="B47" s="879">
        <v>3</v>
      </c>
      <c r="C47" s="330" t="s">
        <v>332</v>
      </c>
      <c r="D47" s="76">
        <f t="shared" si="7"/>
        <v>3.3400000000000003</v>
      </c>
      <c r="E47" s="78">
        <f>'Parab Camarones'!$E$28*D47/1000</f>
        <v>147.4137174947881</v>
      </c>
      <c r="F47" s="77">
        <v>4.2000000000000003E-2</v>
      </c>
      <c r="G47" s="71">
        <f t="shared" si="5"/>
        <v>6.1913761347811009</v>
      </c>
      <c r="H47" s="79">
        <f>$E$38*'Parab Camarones'!$E$71*G47</f>
        <v>0.4457790817042393</v>
      </c>
      <c r="I47" s="79">
        <f>H47*'Parab Camarones'!$E$72</f>
        <v>11.144477042605983</v>
      </c>
      <c r="J47" s="97">
        <f>'Parab Camarones'!$E$108*'Suministro de Alimento y O2'!I47/'Parab Camarones'!$E$114</f>
        <v>119.79628270614539</v>
      </c>
      <c r="K47" s="339">
        <f>J47*'Parab Camarones'!$E$176</f>
        <v>63.867664227054675</v>
      </c>
      <c r="L47" s="340"/>
      <c r="M47" s="879">
        <v>3</v>
      </c>
      <c r="N47" s="330" t="s">
        <v>332</v>
      </c>
      <c r="O47" s="79">
        <f>0.2767*((1-'Parab Camarones'!$E$57)*D47)^1.02075</f>
        <v>0.21140100798988409</v>
      </c>
      <c r="P47" s="79">
        <f>24* O47*'Parab Camarones'!$E$28/1000000</f>
        <v>0.22392868361629376</v>
      </c>
      <c r="Q47" s="79">
        <f>E47*(1-'Parab Camarones'!$E$60)*(1-'Parab Camarones'!$E$57)*'Parab Camarones'!$E$58*'Parab Camarones'!$E$59*(24/1000)</f>
        <v>0.38326387238904946</v>
      </c>
      <c r="R47" s="78">
        <f t="shared" si="6"/>
        <v>607.19255600534325</v>
      </c>
      <c r="U47" s="34"/>
    </row>
    <row r="48" spans="2:21" ht="15.95" customHeight="1" x14ac:dyDescent="0.2">
      <c r="B48" s="880"/>
      <c r="C48" s="68" t="s">
        <v>73</v>
      </c>
      <c r="D48" s="68">
        <f t="shared" si="7"/>
        <v>11.560000000000002</v>
      </c>
      <c r="E48" s="70">
        <f>'Parab Camarones'!$E$29*D48/1000</f>
        <v>494.90404102172391</v>
      </c>
      <c r="F48" s="69">
        <v>2.3E-2</v>
      </c>
      <c r="G48" s="71">
        <f t="shared" si="5"/>
        <v>11.38279294349965</v>
      </c>
      <c r="H48" s="71">
        <f>$F$38*'Parab Camarones'!$E$71*G48</f>
        <v>0.72849874838397766</v>
      </c>
      <c r="I48" s="71">
        <f>H48*'Parab Camarones'!$E$72</f>
        <v>18.212468709599442</v>
      </c>
      <c r="J48" s="98">
        <f>'Parab Camarones'!$E$108*'Suministro de Alimento y O2'!I48/'Parab Camarones'!$E$114</f>
        <v>195.77285160810209</v>
      </c>
      <c r="K48" s="340">
        <f>J48*'Parab Camarones'!$E$176</f>
        <v>104.37347861577553</v>
      </c>
      <c r="L48" s="340"/>
      <c r="M48" s="880"/>
      <c r="N48" s="68" t="s">
        <v>73</v>
      </c>
      <c r="O48" s="71">
        <f>0.2767*((1-'Parab Camarones'!$E$57)*D48)^1.02075</f>
        <v>0.75077025336729297</v>
      </c>
      <c r="P48" s="71">
        <f>24*O48*'Parab Camarones'!$E$29/1000000</f>
        <v>0.77140325038832547</v>
      </c>
      <c r="Q48" s="71">
        <f>E48*(1-'Parab Camarones'!$E$60)*(1-'Parab Camarones'!$E$57)*'Parab Camarones'!$E$58*'Parab Camarones'!$E$59*(24/1000)</f>
        <v>1.2867109143332003</v>
      </c>
      <c r="R48" s="70">
        <f t="shared" si="6"/>
        <v>2058.1141647215259</v>
      </c>
      <c r="T48" s="381"/>
      <c r="U48" s="34"/>
    </row>
    <row r="49" spans="2:21" ht="15.95" customHeight="1" x14ac:dyDescent="0.2">
      <c r="B49" s="881"/>
      <c r="C49" s="72" t="s">
        <v>72</v>
      </c>
      <c r="D49" s="72">
        <f t="shared" si="7"/>
        <v>19.780000000000008</v>
      </c>
      <c r="E49" s="74">
        <f>'Parab Camarones'!$E$30*D49/1000</f>
        <v>821.41227279129851</v>
      </c>
      <c r="F49" s="73">
        <v>0.02</v>
      </c>
      <c r="G49" s="75">
        <f t="shared" si="5"/>
        <v>16.428245455825969</v>
      </c>
      <c r="H49" s="75">
        <f>$G$38*'Parab Camarones'!$E$71*G49</f>
        <v>1.051407709172862</v>
      </c>
      <c r="I49" s="75">
        <f>H49*'Parab Camarones'!$E$72</f>
        <v>26.285192729321551</v>
      </c>
      <c r="J49" s="99">
        <f>'Parab Camarones'!$E$108*'Suministro de Alimento y O2'!I49/'Parab Camarones'!$E$114</f>
        <v>282.549676144427</v>
      </c>
      <c r="K49" s="341">
        <f>J49*'Parab Camarones'!$E$176</f>
        <v>150.63729387764701</v>
      </c>
      <c r="L49" s="340"/>
      <c r="M49" s="881"/>
      <c r="N49" s="72" t="s">
        <v>72</v>
      </c>
      <c r="O49" s="75">
        <f>0.2767*((1-'Parab Camarones'!$E$57)*D49)^1.02075</f>
        <v>1.2990199786407719</v>
      </c>
      <c r="P49" s="75">
        <f>24*O49*'Parab Camarones'!$E$30/1000000</f>
        <v>1.2946786083599029</v>
      </c>
      <c r="Q49" s="75">
        <f>E49*(1-'Parab Camarones'!$E$60)*(1-'Parab Camarones'!$E$57)*'Parab Camarones'!$E$58*'Parab Camarones'!$E$59*(24/1000)</f>
        <v>2.1356061962755528</v>
      </c>
      <c r="R49" s="393">
        <f t="shared" si="6"/>
        <v>3430.2848046354557</v>
      </c>
      <c r="T49" s="381"/>
      <c r="U49" s="34"/>
    </row>
    <row r="50" spans="2:21" ht="15.95" customHeight="1" x14ac:dyDescent="0.2">
      <c r="B50" s="879">
        <v>4</v>
      </c>
      <c r="C50" s="330" t="s">
        <v>332</v>
      </c>
      <c r="D50" s="76">
        <f t="shared" si="7"/>
        <v>4.7100000000000009</v>
      </c>
      <c r="E50" s="78">
        <f>'Parab Camarones'!$E$28*D50/1000</f>
        <v>207.87982317378803</v>
      </c>
      <c r="F50" s="77">
        <f>F47-0.004</f>
        <v>3.8000000000000006E-2</v>
      </c>
      <c r="G50" s="71">
        <f t="shared" si="5"/>
        <v>7.8994332806039465</v>
      </c>
      <c r="H50" s="79">
        <f>$E$38*'Parab Camarones'!$E$71*G50</f>
        <v>0.56875919620348425</v>
      </c>
      <c r="I50" s="79">
        <f>H50*'Parab Camarones'!$E$72</f>
        <v>14.218979905087107</v>
      </c>
      <c r="J50" s="97">
        <f>'Parab Camarones'!$E$108*'Suministro de Alimento y O2'!I50/'Parab Camarones'!$E$114</f>
        <v>152.84529996254568</v>
      </c>
      <c r="K50" s="339">
        <f>J50*'Parab Camarones'!$E$176</f>
        <v>81.487272193885445</v>
      </c>
      <c r="L50" s="394"/>
      <c r="M50" s="879">
        <v>4</v>
      </c>
      <c r="N50" s="330" t="s">
        <v>332</v>
      </c>
      <c r="O50" s="381">
        <f>0.2767*((1-'Parab Camarones'!$E$57)*D50)^1.02075</f>
        <v>0.30024718112062232</v>
      </c>
      <c r="P50" s="79">
        <f>24* O50*'Parab Camarones'!$E$28/1000000</f>
        <v>0.31803990277596567</v>
      </c>
      <c r="Q50" s="79">
        <f>E50*(1-'Parab Camarones'!$E$60)*(1-'Parab Camarones'!$E$57)*'Parab Camarones'!$E$58*'Parab Camarones'!$E$59*(24/1000)</f>
        <v>0.540470909865995</v>
      </c>
      <c r="R50" s="78">
        <f t="shared" si="6"/>
        <v>858.51081264196068</v>
      </c>
    </row>
    <row r="51" spans="2:21" ht="15.95" customHeight="1" x14ac:dyDescent="0.2">
      <c r="B51" s="880"/>
      <c r="C51" s="68" t="s">
        <v>73</v>
      </c>
      <c r="D51" s="68">
        <f t="shared" si="7"/>
        <v>12.930000000000003</v>
      </c>
      <c r="E51" s="70">
        <f>'Parab Camarones'!$E$29*D51/1000</f>
        <v>553.55616353035396</v>
      </c>
      <c r="F51" s="69">
        <v>2.1000000000000001E-2</v>
      </c>
      <c r="G51" s="71">
        <f t="shared" si="5"/>
        <v>11.624679434137434</v>
      </c>
      <c r="H51" s="71">
        <f>$F$38*'Parab Camarones'!$E$71*G51</f>
        <v>0.74397948378479584</v>
      </c>
      <c r="I51" s="71">
        <f>H51*'Parab Camarones'!$E$72</f>
        <v>18.599487094619896</v>
      </c>
      <c r="J51" s="98">
        <f>'Parab Camarones'!$E$108*'Suministro de Alimento y O2'!I51/'Parab Camarones'!$E$114</f>
        <v>199.93306152079128</v>
      </c>
      <c r="K51" s="340">
        <f>J51*'Parab Camarones'!$E$176</f>
        <v>106.59143466429045</v>
      </c>
      <c r="L51" s="340"/>
      <c r="M51" s="880"/>
      <c r="N51" s="68" t="s">
        <v>73</v>
      </c>
      <c r="O51" s="71">
        <f>0.2767*((1-'Parab Camarones'!$E$57)*D51)^1.02075</f>
        <v>0.84169944735823865</v>
      </c>
      <c r="P51" s="71">
        <f>24*O51*'Parab Camarones'!$E$29/1000000</f>
        <v>0.86483140032528161</v>
      </c>
      <c r="Q51" s="71">
        <f>E51*(1-'Parab Camarones'!$E$60)*(1-'Parab Camarones'!$E$57)*'Parab Camarones'!$E$58*'Parab Camarones'!$E$59*(24/1000)</f>
        <v>1.4392017406858379</v>
      </c>
      <c r="R51" s="70">
        <f t="shared" si="6"/>
        <v>2304.0331410111198</v>
      </c>
    </row>
    <row r="52" spans="2:21" ht="15.95" customHeight="1" x14ac:dyDescent="0.2">
      <c r="B52" s="881"/>
      <c r="C52" s="72" t="s">
        <v>72</v>
      </c>
      <c r="D52" s="72">
        <f t="shared" si="7"/>
        <v>21.150000000000009</v>
      </c>
      <c r="E52" s="74">
        <f>'Parab Camarones'!$E$30*D52/1000</f>
        <v>878.30483162466953</v>
      </c>
      <c r="F52" s="73">
        <v>0.02</v>
      </c>
      <c r="G52" s="75">
        <f t="shared" si="5"/>
        <v>17.566096632493391</v>
      </c>
      <c r="H52" s="75">
        <f>$G$38*'Parab Camarones'!$E$71*G52</f>
        <v>1.124230184479577</v>
      </c>
      <c r="I52" s="75">
        <f>H52*'Parab Camarones'!$E$72</f>
        <v>28.105754611989425</v>
      </c>
      <c r="J52" s="99">
        <f>'Parab Camarones'!$E$108*'Suministro de Alimento y O2'!I52/'Parab Camarones'!$E$114</f>
        <v>302.11959810185192</v>
      </c>
      <c r="K52" s="341">
        <f>J52*'Parab Camarones'!$E$176</f>
        <v>161.07071615329798</v>
      </c>
      <c r="L52" s="340"/>
      <c r="M52" s="881"/>
      <c r="N52" s="72" t="s">
        <v>72</v>
      </c>
      <c r="O52" s="75">
        <f>0.2767*((1-'Parab Camarones'!$E$57)*D52)^1.02075</f>
        <v>1.3909240283852968</v>
      </c>
      <c r="P52" s="75">
        <f>24*O52*'Parab Camarones'!$E$30/1000000</f>
        <v>1.3862755115502463</v>
      </c>
      <c r="Q52" s="75">
        <f>E52*(1-'Parab Camarones'!$E$60)*(1-'Parab Camarones'!$E$57)*'Parab Camarones'!$E$58*'Parab Camarones'!$E$59*(24/1000)</f>
        <v>2.2835222978376111</v>
      </c>
      <c r="R52" s="393">
        <f t="shared" si="6"/>
        <v>3669.7978093878573</v>
      </c>
    </row>
    <row r="53" spans="2:21" ht="15.95" customHeight="1" x14ac:dyDescent="0.2">
      <c r="B53" s="879">
        <v>5</v>
      </c>
      <c r="C53" s="330" t="s">
        <v>332</v>
      </c>
      <c r="D53" s="76">
        <f t="shared" si="7"/>
        <v>6.080000000000001</v>
      </c>
      <c r="E53" s="78">
        <f>'Parab Camarones'!$E$28*D53/1000</f>
        <v>268.34592885278795</v>
      </c>
      <c r="F53" s="77">
        <f>F50-0.002</f>
        <v>3.6000000000000004E-2</v>
      </c>
      <c r="G53" s="71">
        <f t="shared" si="5"/>
        <v>9.6604534387003671</v>
      </c>
      <c r="H53" s="79">
        <f>$E$38*'Parab Camarones'!$E$71*G53</f>
        <v>0.69555264758642654</v>
      </c>
      <c r="I53" s="79">
        <f>H53*'Parab Camarones'!$E$72</f>
        <v>17.388816189660663</v>
      </c>
      <c r="J53" s="97">
        <f>'Parab Camarones'!$E$108*'Suministro de Alimento y O2'!I53/'Parab Camarones'!$E$114</f>
        <v>186.91909294782653</v>
      </c>
      <c r="K53" s="339">
        <f>J53*'Parab Camarones'!$E$176</f>
        <v>99.653224593796182</v>
      </c>
      <c r="L53" s="340"/>
      <c r="M53" s="879">
        <v>5</v>
      </c>
      <c r="N53" s="330" t="s">
        <v>332</v>
      </c>
      <c r="O53" s="79">
        <f>0.2767*((1-'Parab Camarones'!$E$57)*D53)^1.02075</f>
        <v>0.38963900559014669</v>
      </c>
      <c r="P53" s="79">
        <f>24* O53*'Parab Camarones'!$E$28/1000000</f>
        <v>0.41272910870670215</v>
      </c>
      <c r="Q53" s="79">
        <f>E53*(1-'Parab Camarones'!$E$60)*(1-'Parab Camarones'!$E$57)*'Parab Camarones'!$E$58*'Parab Camarones'!$E$59*(24/1000)</f>
        <v>0.69767794734294042</v>
      </c>
      <c r="R53" s="78">
        <f t="shared" si="6"/>
        <v>1110.4070560496427</v>
      </c>
    </row>
    <row r="54" spans="2:21" ht="15.95" customHeight="1" x14ac:dyDescent="0.2">
      <c r="B54" s="880"/>
      <c r="C54" s="68" t="s">
        <v>73</v>
      </c>
      <c r="D54" s="71">
        <f t="shared" si="7"/>
        <v>14.300000000000004</v>
      </c>
      <c r="E54" s="70">
        <f>'Parab Camarones'!$E$29*D54/1000</f>
        <v>612.20828603898383</v>
      </c>
      <c r="F54" s="69">
        <v>2.1000000000000001E-2</v>
      </c>
      <c r="G54" s="71">
        <f t="shared" si="5"/>
        <v>12.856374006818662</v>
      </c>
      <c r="H54" s="71">
        <f>$F$38*'Parab Camarones'!$E$71*G54</f>
        <v>0.82280793643639438</v>
      </c>
      <c r="I54" s="71">
        <f>H54*'Parab Camarones'!$E$72</f>
        <v>20.57019841090986</v>
      </c>
      <c r="J54" s="98">
        <f>'Parab Camarones'!$E$108*'Suministro de Alimento y O2'!I54/'Parab Camarones'!$E$114</f>
        <v>221.11699766027186</v>
      </c>
      <c r="K54" s="340">
        <f>J54*'Parab Camarones'!$E$176</f>
        <v>117.88534537504665</v>
      </c>
      <c r="L54" s="340"/>
      <c r="M54" s="880"/>
      <c r="N54" s="68" t="s">
        <v>73</v>
      </c>
      <c r="O54" s="71">
        <f>0.2767*((1-'Parab Camarones'!$E$57)*D54)^1.02075</f>
        <v>0.93282914805168105</v>
      </c>
      <c r="P54" s="71">
        <f>24*O54*'Parab Camarones'!$E$29/1000000</f>
        <v>0.95846556737777611</v>
      </c>
      <c r="Q54" s="71">
        <f>E54*(1-'Parab Camarones'!$E$60)*(1-'Parab Camarones'!$E$57)*'Parab Camarones'!$E$58*'Parab Camarones'!$E$59*(24/1000)</f>
        <v>1.5916925670384749</v>
      </c>
      <c r="R54" s="70">
        <f t="shared" si="6"/>
        <v>2550.158134416251</v>
      </c>
    </row>
    <row r="55" spans="2:21" ht="15.95" customHeight="1" x14ac:dyDescent="0.2">
      <c r="B55" s="881"/>
      <c r="C55" s="72" t="s">
        <v>72</v>
      </c>
      <c r="D55" s="72">
        <f t="shared" si="7"/>
        <v>22.52000000000001</v>
      </c>
      <c r="E55" s="74">
        <f>'Parab Camarones'!$E$30*D55/1000</f>
        <v>935.19739045804056</v>
      </c>
      <c r="F55" s="73">
        <v>0.02</v>
      </c>
      <c r="G55" s="96">
        <f t="shared" si="5"/>
        <v>18.703947809160812</v>
      </c>
      <c r="H55" s="75">
        <f>$G$38*'Parab Camarones'!$E$71*G55</f>
        <v>1.1970526597862921</v>
      </c>
      <c r="I55" s="75">
        <f>H55*'Parab Camarones'!$E$72</f>
        <v>29.9263164946573</v>
      </c>
      <c r="J55" s="99">
        <f>'Parab Camarones'!$E$108*'Suministro de Alimento y O2'!I55/'Parab Camarones'!$E$114</f>
        <v>321.68952005927684</v>
      </c>
      <c r="K55" s="341">
        <f>J55*'Parab Camarones'!$E$176</f>
        <v>171.50413842894898</v>
      </c>
      <c r="L55" s="340"/>
      <c r="M55" s="881"/>
      <c r="N55" s="72" t="s">
        <v>72</v>
      </c>
      <c r="O55" s="75">
        <f>0.2767*((1-'Parab Camarones'!$E$57)*D55)^1.02075</f>
        <v>1.4829517742272178</v>
      </c>
      <c r="P55" s="75">
        <f>24*O55*'Parab Camarones'!$E$30/1000000</f>
        <v>1.4779956974412947</v>
      </c>
      <c r="Q55" s="75">
        <f>E55*(1-'Parab Camarones'!$E$60)*(1-'Parab Camarones'!$E$57)*'Parab Camarones'!$E$58*'Parab Camarones'!$E$59*(24/1000)</f>
        <v>2.4314383993996689</v>
      </c>
      <c r="R55" s="393">
        <f t="shared" si="6"/>
        <v>3909.4340968409638</v>
      </c>
    </row>
    <row r="56" spans="2:21" ht="15.95" customHeight="1" x14ac:dyDescent="0.2">
      <c r="B56" s="879">
        <v>6</v>
      </c>
      <c r="C56" s="330" t="s">
        <v>332</v>
      </c>
      <c r="D56" s="76">
        <f t="shared" si="7"/>
        <v>7.4500000000000011</v>
      </c>
      <c r="E56" s="78">
        <f>'Parab Camarones'!$E$28*D56/1000</f>
        <v>328.81203453178784</v>
      </c>
      <c r="F56" s="77">
        <v>2.8000000000000001E-2</v>
      </c>
      <c r="G56" s="71">
        <f t="shared" si="5"/>
        <v>9.2067369668900607</v>
      </c>
      <c r="H56" s="79">
        <f>$E$38*'Parab Camarones'!$E$71*G56</f>
        <v>0.6628850616160844</v>
      </c>
      <c r="I56" s="79">
        <f>H56*'Parab Camarones'!$E$72</f>
        <v>16.57212654040211</v>
      </c>
      <c r="J56" s="97">
        <f>'Parab Camarones'!$E$108*'Suministro de Alimento y O2'!I56/'Parab Camarones'!$E$114</f>
        <v>178.1401808704158</v>
      </c>
      <c r="K56" s="339">
        <f>J56*'Parab Camarones'!$E$176</f>
        <v>94.972873950410644</v>
      </c>
      <c r="L56" s="340"/>
      <c r="M56" s="879">
        <v>6</v>
      </c>
      <c r="N56" s="330" t="s">
        <v>332</v>
      </c>
      <c r="O56" s="79">
        <f>0.2767*((1-'Parab Camarones'!$E$57)*D56)^1.02075</f>
        <v>0.479453356314748</v>
      </c>
      <c r="P56" s="79">
        <f>24* O56*'Parab Camarones'!$E$28/1000000</f>
        <v>0.50786587990210941</v>
      </c>
      <c r="Q56" s="79">
        <f>E56*(1-'Parab Camarones'!$E$60)*(1-'Parab Camarones'!$E$57)*'Parab Camarones'!$E$58*'Parab Camarones'!$E$59*(24/1000)</f>
        <v>0.85488498481988573</v>
      </c>
      <c r="R56" s="78">
        <f t="shared" si="6"/>
        <v>1362.750864721995</v>
      </c>
    </row>
    <row r="57" spans="2:21" ht="15.95" customHeight="1" x14ac:dyDescent="0.2">
      <c r="B57" s="880"/>
      <c r="C57" s="68" t="s">
        <v>73</v>
      </c>
      <c r="D57" s="68">
        <f t="shared" si="7"/>
        <v>15.670000000000005</v>
      </c>
      <c r="E57" s="70">
        <f>'Parab Camarones'!$E$29*D57/1000</f>
        <v>670.86040854761382</v>
      </c>
      <c r="F57" s="69">
        <v>0.02</v>
      </c>
      <c r="G57" s="71">
        <f t="shared" si="5"/>
        <v>13.417208170952277</v>
      </c>
      <c r="H57" s="71">
        <f>$F$38*'Parab Camarones'!$E$71*G57</f>
        <v>0.8587013229409457</v>
      </c>
      <c r="I57" s="71">
        <f>H57*'Parab Camarones'!$E$72</f>
        <v>21.467533073523644</v>
      </c>
      <c r="J57" s="98">
        <f>'Parab Camarones'!$E$108*'Suministro de Alimento y O2'!I57/'Parab Camarones'!$E$114</f>
        <v>230.76279409500231</v>
      </c>
      <c r="K57" s="340">
        <f>J57*'Parab Camarones'!$E$176</f>
        <v>123.02786293885987</v>
      </c>
      <c r="L57" s="340"/>
      <c r="M57" s="880"/>
      <c r="N57" s="68" t="s">
        <v>73</v>
      </c>
      <c r="O57" s="71">
        <f>0.2767*((1-'Parab Camarones'!$E$57)*D57)^1.02075</f>
        <v>1.0241404648454568</v>
      </c>
      <c r="P57" s="71">
        <f>24*O57*'Parab Camarones'!$E$29/1000000</f>
        <v>1.0522863417838406</v>
      </c>
      <c r="Q57" s="71">
        <f>E57*(1-'Parab Camarones'!$E$60)*(1-'Parab Camarones'!$E$57)*'Parab Camarones'!$E$58*'Parab Camarones'!$E$59*(24/1000)</f>
        <v>1.7441833933911117</v>
      </c>
      <c r="R57" s="70">
        <f t="shared" si="6"/>
        <v>2796.4697351749519</v>
      </c>
    </row>
    <row r="58" spans="2:21" ht="15.95" customHeight="1" x14ac:dyDescent="0.2">
      <c r="B58" s="881"/>
      <c r="C58" s="72" t="s">
        <v>72</v>
      </c>
      <c r="D58" s="72">
        <f t="shared" si="7"/>
        <v>23.890000000000011</v>
      </c>
      <c r="E58" s="74">
        <f>'Parab Camarones'!$E$30*D58/1000</f>
        <v>992.08994929141159</v>
      </c>
      <c r="F58" s="73">
        <v>0.02</v>
      </c>
      <c r="G58" s="75">
        <f t="shared" si="5"/>
        <v>19.84179898582823</v>
      </c>
      <c r="H58" s="75">
        <f>$G$38*'Parab Camarones'!$E$71*G58</f>
        <v>1.2698751350930069</v>
      </c>
      <c r="I58" s="75">
        <f>H58*'Parab Camarones'!$E$72</f>
        <v>31.746878377325171</v>
      </c>
      <c r="J58" s="99">
        <f>'Parab Camarones'!$E$108*'Suministro de Alimento y O2'!I58/'Parab Camarones'!$E$114</f>
        <v>341.25944201670177</v>
      </c>
      <c r="K58" s="341">
        <f>J58*'Parab Camarones'!$E$176</f>
        <v>181.93756070459995</v>
      </c>
      <c r="L58" s="340"/>
      <c r="M58" s="881"/>
      <c r="N58" s="72" t="s">
        <v>72</v>
      </c>
      <c r="O58" s="75">
        <f>0.2767*((1-'Parab Camarones'!$E$57)*D58)^1.02075</f>
        <v>1.575095833209198</v>
      </c>
      <c r="P58" s="75">
        <f>24*O58*'Parab Camarones'!$E$30/1000000</f>
        <v>1.5698318077498128</v>
      </c>
      <c r="Q58" s="75">
        <f>E58*(1-'Parab Camarones'!$E$60)*(1-'Parab Camarones'!$E$57)*'Parab Camarones'!$E$58*'Parab Camarones'!$E$59*(24/1000)</f>
        <v>2.5793545009617271</v>
      </c>
      <c r="R58" s="393">
        <f t="shared" si="6"/>
        <v>4149.1863087115398</v>
      </c>
    </row>
    <row r="59" spans="2:21" ht="15.95" customHeight="1" x14ac:dyDescent="0.2">
      <c r="B59" s="884" t="s">
        <v>439</v>
      </c>
      <c r="C59" s="885"/>
      <c r="D59" s="886"/>
      <c r="E59" s="361">
        <f>SUM(E56:E58)</f>
        <v>1991.7623923708134</v>
      </c>
      <c r="F59" s="360"/>
      <c r="G59" s="362">
        <f>SUM(G56:G58)</f>
        <v>42.465744123670568</v>
      </c>
      <c r="H59" s="362">
        <f>SUM(H56:H58)</f>
        <v>2.7914615196500367</v>
      </c>
      <c r="I59" s="362">
        <f>SUM(I56:I58)</f>
        <v>69.786537991250924</v>
      </c>
      <c r="J59" s="361">
        <f t="shared" ref="J59" si="8">SUM(J56:J58)</f>
        <v>750.16241698211991</v>
      </c>
      <c r="K59" s="363">
        <f>SUM(K56:K58)</f>
        <v>399.93829759387046</v>
      </c>
      <c r="L59" s="71"/>
      <c r="M59" s="882" t="s">
        <v>356</v>
      </c>
      <c r="N59" s="883"/>
      <c r="O59" s="363">
        <f>SUM(O56:O58)</f>
        <v>3.0786896543694029</v>
      </c>
      <c r="P59" s="363">
        <f>SUM(P56:P58)</f>
        <v>3.1299840294357626</v>
      </c>
      <c r="Q59" s="363">
        <f>SUM(Q56:Q58)</f>
        <v>5.1784228791727251</v>
      </c>
      <c r="R59" s="361">
        <f>SUM(R56:R58)</f>
        <v>8308.4069086084855</v>
      </c>
    </row>
    <row r="60" spans="2:21" ht="15.95" customHeight="1" x14ac:dyDescent="0.2">
      <c r="B60" s="100"/>
      <c r="C60" s="382"/>
      <c r="E60" s="383"/>
      <c r="F60" s="67"/>
      <c r="G60" s="384"/>
      <c r="H60" s="384"/>
      <c r="J60" s="384"/>
      <c r="L60" s="385"/>
      <c r="M60" s="385"/>
      <c r="N60" s="385"/>
      <c r="O60" s="385" t="s">
        <v>517</v>
      </c>
      <c r="P60" s="381"/>
      <c r="Q60" s="381"/>
    </row>
    <row r="61" spans="2:21" ht="15.95" customHeight="1" x14ac:dyDescent="0.2">
      <c r="F61" s="67"/>
      <c r="G61" s="311"/>
      <c r="I61" s="67"/>
      <c r="J61" s="67"/>
      <c r="K61" s="67"/>
      <c r="L61" s="67"/>
      <c r="M61" s="67"/>
      <c r="N61" s="67"/>
    </row>
    <row r="62" spans="2:21" ht="15.75" x14ac:dyDescent="0.2">
      <c r="C62" s="376"/>
      <c r="G62" s="311" t="s">
        <v>590</v>
      </c>
    </row>
    <row r="63" spans="2:21" ht="13.5" thickBot="1" x14ac:dyDescent="0.25">
      <c r="C63" s="66"/>
      <c r="D63" s="66"/>
      <c r="E63" s="66"/>
      <c r="J63" s="65"/>
      <c r="Q63" s="381"/>
    </row>
    <row r="64" spans="2:21" ht="57.75" customHeight="1" x14ac:dyDescent="0.2">
      <c r="B64" s="404" t="s">
        <v>112</v>
      </c>
      <c r="C64" s="405" t="s">
        <v>77</v>
      </c>
      <c r="D64" s="405" t="s">
        <v>344</v>
      </c>
      <c r="E64" s="405" t="s">
        <v>581</v>
      </c>
      <c r="F64" s="405" t="s">
        <v>331</v>
      </c>
      <c r="G64" s="405" t="s">
        <v>136</v>
      </c>
      <c r="H64" s="405" t="s">
        <v>146</v>
      </c>
      <c r="I64" s="405" t="s">
        <v>346</v>
      </c>
      <c r="J64" s="405" t="s">
        <v>361</v>
      </c>
      <c r="K64" s="893" t="s">
        <v>364</v>
      </c>
      <c r="L64" s="395"/>
      <c r="M64" s="395"/>
      <c r="N64" s="395"/>
    </row>
    <row r="65" spans="1:14" x14ac:dyDescent="0.2">
      <c r="A65" s="80"/>
      <c r="B65" s="406"/>
      <c r="C65" s="93"/>
      <c r="D65" s="93" t="s">
        <v>79</v>
      </c>
      <c r="E65" s="329" t="s">
        <v>82</v>
      </c>
      <c r="F65" s="329" t="s">
        <v>141</v>
      </c>
      <c r="G65" s="329" t="s">
        <v>82</v>
      </c>
      <c r="H65" s="329" t="s">
        <v>133</v>
      </c>
      <c r="I65" s="329" t="s">
        <v>133</v>
      </c>
      <c r="J65" s="329" t="s">
        <v>367</v>
      </c>
      <c r="K65" s="894"/>
    </row>
    <row r="66" spans="1:14" ht="14.1" customHeight="1" x14ac:dyDescent="0.2">
      <c r="A66" s="80"/>
      <c r="B66" s="407"/>
      <c r="C66" s="330" t="s">
        <v>332</v>
      </c>
      <c r="D66" s="78">
        <f>E41</f>
        <v>26.481506136788276</v>
      </c>
      <c r="E66" s="335">
        <f>G41</f>
        <v>1.8537054295751796</v>
      </c>
      <c r="F66" s="79">
        <f>H41</f>
        <v>0.13346679092941294</v>
      </c>
      <c r="G66" s="454">
        <f>I41</f>
        <v>3.3366697732353234</v>
      </c>
      <c r="H66" s="97">
        <f>J41</f>
        <v>35.867150510821965</v>
      </c>
      <c r="I66" s="342">
        <f>H66*'Parab Camarones'!$E$176</f>
        <v>19.122055157800798</v>
      </c>
      <c r="J66" s="78">
        <f>R41</f>
        <v>107.66871398469225</v>
      </c>
      <c r="K66" s="408"/>
      <c r="L66" s="396"/>
      <c r="M66" s="396"/>
      <c r="N66" s="396"/>
    </row>
    <row r="67" spans="1:14" ht="14.1" customHeight="1" x14ac:dyDescent="0.2">
      <c r="A67" s="80"/>
      <c r="B67" s="409"/>
      <c r="C67" s="68" t="s">
        <v>74</v>
      </c>
      <c r="D67" s="70">
        <f>E8</f>
        <v>0.5296301227357656</v>
      </c>
      <c r="E67" s="336">
        <f>G8</f>
        <v>7.9444518410364831E-2</v>
      </c>
      <c r="F67" s="71">
        <f>H8</f>
        <v>5.7200053255462681E-3</v>
      </c>
      <c r="G67" s="455">
        <f>I8</f>
        <v>0.1430001331386567</v>
      </c>
      <c r="H67" s="98">
        <f>J8</f>
        <v>1.5371635933209411</v>
      </c>
      <c r="I67" s="351">
        <f>H67*'Parab Camarones'!$E$176</f>
        <v>0.81951664962003401</v>
      </c>
      <c r="J67" s="70">
        <f>R8</f>
        <v>9.1084427652859183</v>
      </c>
      <c r="K67" s="408"/>
      <c r="L67" s="396"/>
      <c r="M67" s="396"/>
      <c r="N67" s="396"/>
    </row>
    <row r="68" spans="1:14" ht="14.1" customHeight="1" x14ac:dyDescent="0.2">
      <c r="B68" s="410">
        <v>1</v>
      </c>
      <c r="C68" s="68" t="s">
        <v>73</v>
      </c>
      <c r="D68" s="70">
        <f>E9+E42</f>
        <v>390.44332648080638</v>
      </c>
      <c r="E68" s="336">
        <f t="shared" ref="E68:H69" si="9">G9+G42</f>
        <v>10.382710037075126</v>
      </c>
      <c r="F68" s="71">
        <f t="shared" si="9"/>
        <v>0.65997251964513559</v>
      </c>
      <c r="G68" s="455">
        <f t="shared" si="9"/>
        <v>16.499312991128388</v>
      </c>
      <c r="H68" s="98">
        <f t="shared" si="9"/>
        <v>177.35747994149065</v>
      </c>
      <c r="I68" s="343">
        <f>H68*'Parab Camarones'!$E$176</f>
        <v>94.555588213411468</v>
      </c>
      <c r="J68" s="70">
        <f>R9+R42</f>
        <v>1708.6107736600463</v>
      </c>
      <c r="K68" s="408"/>
      <c r="L68" s="396"/>
      <c r="M68" s="396"/>
      <c r="N68" s="396"/>
    </row>
    <row r="69" spans="1:14" ht="14.1" customHeight="1" x14ac:dyDescent="0.2">
      <c r="B69" s="410"/>
      <c r="C69" s="68" t="s">
        <v>72</v>
      </c>
      <c r="D69" s="337">
        <f>E10+E43</f>
        <v>765.7655364141325</v>
      </c>
      <c r="E69" s="338">
        <f t="shared" si="9"/>
        <v>16.012971303757567</v>
      </c>
      <c r="F69" s="71">
        <f t="shared" si="9"/>
        <v>0.99506331222022115</v>
      </c>
      <c r="G69" s="455">
        <f t="shared" si="9"/>
        <v>24.876582805505528</v>
      </c>
      <c r="H69" s="98">
        <f t="shared" si="9"/>
        <v>267.40798470291571</v>
      </c>
      <c r="I69" s="343">
        <f>H69*'Parab Camarones'!$E$176</f>
        <v>142.5647189782382</v>
      </c>
      <c r="J69" s="337">
        <f>R10+R43</f>
        <v>3372.6976504827626</v>
      </c>
      <c r="K69" s="408"/>
      <c r="L69" s="396"/>
      <c r="M69" s="396"/>
      <c r="N69" s="396"/>
    </row>
    <row r="70" spans="1:14" ht="14.1" customHeight="1" x14ac:dyDescent="0.2">
      <c r="B70" s="411"/>
      <c r="C70" s="95" t="s">
        <v>345</v>
      </c>
      <c r="D70" s="346">
        <f>SUM(D66:D69)</f>
        <v>1183.219999154463</v>
      </c>
      <c r="E70" s="347">
        <f t="shared" ref="E70:H70" si="10">SUM(E66:E69)</f>
        <v>28.328831288818236</v>
      </c>
      <c r="F70" s="348">
        <f t="shared" si="10"/>
        <v>1.794222628120316</v>
      </c>
      <c r="G70" s="348">
        <f t="shared" si="10"/>
        <v>44.855565703007898</v>
      </c>
      <c r="H70" s="349">
        <f t="shared" si="10"/>
        <v>482.16977874854928</v>
      </c>
      <c r="I70" s="350">
        <f>H70*'Parab Camarones'!$E$176</f>
        <v>257.06187899907053</v>
      </c>
      <c r="J70" s="346">
        <f t="shared" ref="J70" si="11">SUM(J66:J69)</f>
        <v>5198.0855808927872</v>
      </c>
      <c r="K70" s="412">
        <f>J70/(2*1000*'Parab Camarones'!$E$64)</f>
        <v>0.30106602874249744</v>
      </c>
      <c r="L70" s="397"/>
      <c r="M70" s="397"/>
      <c r="N70" s="397"/>
    </row>
    <row r="71" spans="1:14" ht="14.1" customHeight="1" x14ac:dyDescent="0.2">
      <c r="B71" s="413"/>
      <c r="C71" s="330" t="s">
        <v>332</v>
      </c>
      <c r="D71" s="344">
        <f>E44</f>
        <v>86.947611815788193</v>
      </c>
      <c r="E71" s="345">
        <f>G44</f>
        <v>5.216856708947291</v>
      </c>
      <c r="F71" s="79">
        <f>H44</f>
        <v>0.375613683044205</v>
      </c>
      <c r="G71" s="454">
        <f>I44</f>
        <v>9.3903420761051244</v>
      </c>
      <c r="H71" s="97">
        <f>J44</f>
        <v>100.94040929474181</v>
      </c>
      <c r="I71" s="352">
        <f>H71*'Parab Camarones'!$E$176</f>
        <v>53.814926658382241</v>
      </c>
      <c r="J71" s="344">
        <f>R44</f>
        <v>356.69555638590572</v>
      </c>
      <c r="K71" s="414"/>
      <c r="L71" s="398"/>
      <c r="M71" s="398"/>
      <c r="N71" s="398"/>
    </row>
    <row r="72" spans="1:14" ht="14.1" customHeight="1" x14ac:dyDescent="0.2">
      <c r="B72" s="409"/>
      <c r="C72" s="68" t="s">
        <v>74</v>
      </c>
      <c r="D72" s="70">
        <f>E11</f>
        <v>1.0592602454715312</v>
      </c>
      <c r="E72" s="336">
        <f>G11</f>
        <v>0.10592602454715312</v>
      </c>
      <c r="F72" s="71">
        <f>H11</f>
        <v>7.6266737673950256E-3</v>
      </c>
      <c r="G72" s="71">
        <f>I11</f>
        <v>0.19066684418487564</v>
      </c>
      <c r="H72" s="98">
        <f>J11</f>
        <v>2.0495514577612557</v>
      </c>
      <c r="I72" s="354">
        <f>H72*'Parab Camarones'!$E$176</f>
        <v>1.0926888661600458</v>
      </c>
      <c r="J72" s="70">
        <f>R11</f>
        <v>16.87081547522445</v>
      </c>
      <c r="K72" s="414"/>
      <c r="L72" s="398"/>
      <c r="M72" s="398"/>
      <c r="N72" s="398"/>
    </row>
    <row r="73" spans="1:14" ht="14.1" customHeight="1" x14ac:dyDescent="0.2">
      <c r="B73" s="410">
        <v>2</v>
      </c>
      <c r="C73" s="68" t="s">
        <v>73</v>
      </c>
      <c r="D73" s="70">
        <f>E12+E45</f>
        <v>453.37662581488377</v>
      </c>
      <c r="E73" s="336">
        <f t="shared" ref="E73:H74" si="12">G12+G45</f>
        <v>11.189283750989427</v>
      </c>
      <c r="F73" s="71">
        <f t="shared" si="12"/>
        <v>0.71036025840992201</v>
      </c>
      <c r="G73" s="71">
        <f t="shared" si="12"/>
        <v>17.759006460248049</v>
      </c>
      <c r="H73" s="98">
        <f t="shared" si="12"/>
        <v>190.89841096703984</v>
      </c>
      <c r="I73" s="353">
        <f>H73*'Parab Camarones'!$E$176</f>
        <v>101.7747407323829</v>
      </c>
      <c r="J73" s="70">
        <f>R12+R45</f>
        <v>1990.4327998213121</v>
      </c>
      <c r="K73" s="414"/>
      <c r="L73" s="398"/>
      <c r="M73" s="398"/>
      <c r="N73" s="398"/>
    </row>
    <row r="74" spans="1:14" ht="14.1" customHeight="1" x14ac:dyDescent="0.2">
      <c r="A74" s="65"/>
      <c r="B74" s="410"/>
      <c r="C74" s="68" t="s">
        <v>72</v>
      </c>
      <c r="D74" s="337">
        <f>E13+E46</f>
        <v>835.11631980955576</v>
      </c>
      <c r="E74" s="338">
        <f t="shared" si="12"/>
        <v>17.408292454707397</v>
      </c>
      <c r="F74" s="71">
        <f t="shared" si="12"/>
        <v>1.0802443462924918</v>
      </c>
      <c r="G74" s="71">
        <f t="shared" si="12"/>
        <v>27.006108657312296</v>
      </c>
      <c r="H74" s="98">
        <f t="shared" si="12"/>
        <v>290.29907954727594</v>
      </c>
      <c r="I74" s="353">
        <f>H74*'Parab Camarones'!$E$176</f>
        <v>154.76877678607084</v>
      </c>
      <c r="J74" s="337">
        <f>R13+R46</f>
        <v>3664.071554367204</v>
      </c>
      <c r="K74" s="414"/>
      <c r="L74" s="398"/>
      <c r="M74" s="398"/>
      <c r="N74" s="398"/>
    </row>
    <row r="75" spans="1:14" ht="14.1" customHeight="1" x14ac:dyDescent="0.2">
      <c r="A75" s="65"/>
      <c r="B75" s="411"/>
      <c r="C75" s="95" t="s">
        <v>345</v>
      </c>
      <c r="D75" s="346">
        <f>SUM(D71:D74)</f>
        <v>1376.4998176856993</v>
      </c>
      <c r="E75" s="347">
        <f t="shared" ref="E75" si="13">SUM(E71:E74)</f>
        <v>33.920358939191267</v>
      </c>
      <c r="F75" s="348">
        <f t="shared" ref="F75" si="14">SUM(F71:F74)</f>
        <v>2.1738449615140141</v>
      </c>
      <c r="G75" s="348">
        <f t="shared" ref="G75" si="15">SUM(G71:G74)</f>
        <v>54.346124037850345</v>
      </c>
      <c r="H75" s="349">
        <f t="shared" ref="H75" si="16">SUM(H71:H74)</f>
        <v>584.18745126681881</v>
      </c>
      <c r="I75" s="350">
        <f>H75*'Parab Camarones'!$E$176</f>
        <v>311.45113304299605</v>
      </c>
      <c r="J75" s="346">
        <f t="shared" ref="J75" si="17">SUM(J71:J74)</f>
        <v>6028.0707260496465</v>
      </c>
      <c r="K75" s="412">
        <f>J75/(2*1000*'Parab Camarones'!$E$64)</f>
        <v>0.34913763658330627</v>
      </c>
      <c r="L75" s="397"/>
      <c r="M75" s="397"/>
      <c r="N75" s="397"/>
    </row>
    <row r="76" spans="1:14" ht="14.1" customHeight="1" x14ac:dyDescent="0.2">
      <c r="A76" s="65"/>
      <c r="B76" s="407"/>
      <c r="C76" s="330" t="s">
        <v>332</v>
      </c>
      <c r="D76" s="78">
        <f>E47</f>
        <v>147.4137174947881</v>
      </c>
      <c r="E76" s="335">
        <f>G47</f>
        <v>6.1913761347811009</v>
      </c>
      <c r="F76" s="79">
        <f>H47</f>
        <v>0.4457790817042393</v>
      </c>
      <c r="G76" s="79">
        <f>I47</f>
        <v>11.144477042605983</v>
      </c>
      <c r="H76" s="97">
        <f>J47</f>
        <v>119.79628270614539</v>
      </c>
      <c r="I76" s="342">
        <f>H76*'Parab Camarones'!$E$176</f>
        <v>63.867664227054675</v>
      </c>
      <c r="J76" s="78">
        <f>R47</f>
        <v>607.19255600534325</v>
      </c>
      <c r="K76" s="414"/>
      <c r="L76" s="398"/>
      <c r="M76" s="398"/>
      <c r="N76" s="398"/>
    </row>
    <row r="77" spans="1:14" ht="14.1" customHeight="1" x14ac:dyDescent="0.2">
      <c r="B77" s="409"/>
      <c r="C77" s="68" t="s">
        <v>74</v>
      </c>
      <c r="D77" s="70">
        <f>E14</f>
        <v>2.648150613678828</v>
      </c>
      <c r="E77" s="336">
        <f>G14</f>
        <v>0.15888903682072966</v>
      </c>
      <c r="F77" s="71">
        <f>H14</f>
        <v>1.1440010651092536E-2</v>
      </c>
      <c r="G77" s="71">
        <f>I14</f>
        <v>0.2860002662773134</v>
      </c>
      <c r="H77" s="98">
        <f>J14</f>
        <v>3.0743271866418822</v>
      </c>
      <c r="I77" s="351">
        <f>H77*'Parab Camarones'!$E$176</f>
        <v>1.639033299240068</v>
      </c>
      <c r="J77" s="70">
        <f>R14</f>
        <v>37.663738235906301</v>
      </c>
      <c r="K77" s="414"/>
      <c r="L77" s="398"/>
      <c r="M77" s="398"/>
      <c r="N77" s="398"/>
    </row>
    <row r="78" spans="1:14" ht="14.1" customHeight="1" x14ac:dyDescent="0.2">
      <c r="B78" s="410">
        <v>3</v>
      </c>
      <c r="C78" s="68" t="s">
        <v>73</v>
      </c>
      <c r="D78" s="70">
        <f>E15+E48</f>
        <v>518.02239587914005</v>
      </c>
      <c r="E78" s="336">
        <f t="shared" ref="E78:H79" si="18">G15+G48</f>
        <v>12.307527137796297</v>
      </c>
      <c r="F78" s="71">
        <f t="shared" si="18"/>
        <v>0.78028386326458987</v>
      </c>
      <c r="G78" s="71">
        <f t="shared" si="18"/>
        <v>19.507096581614746</v>
      </c>
      <c r="H78" s="98">
        <f t="shared" si="18"/>
        <v>209.689306006301</v>
      </c>
      <c r="I78" s="343">
        <f>H78*'Parab Camarones'!$E$176</f>
        <v>111.79283601700223</v>
      </c>
      <c r="J78" s="70">
        <f>R15+R48</f>
        <v>2282.4449135574873</v>
      </c>
      <c r="K78" s="414"/>
      <c r="L78" s="398"/>
      <c r="M78" s="398"/>
      <c r="N78" s="398"/>
    </row>
    <row r="79" spans="1:14" ht="14.1" customHeight="1" x14ac:dyDescent="0.2">
      <c r="B79" s="410"/>
      <c r="C79" s="68" t="s">
        <v>72</v>
      </c>
      <c r="D79" s="337">
        <f>E16+E49</f>
        <v>904.4671032049788</v>
      </c>
      <c r="E79" s="336">
        <f t="shared" si="18"/>
        <v>18.836835537822697</v>
      </c>
      <c r="F79" s="71">
        <f t="shared" si="18"/>
        <v>1.1670200331087051</v>
      </c>
      <c r="G79" s="71">
        <f t="shared" si="18"/>
        <v>29.175500827717627</v>
      </c>
      <c r="H79" s="98">
        <f t="shared" si="18"/>
        <v>313.61871282865997</v>
      </c>
      <c r="I79" s="343">
        <f>H79*'Parab Camarones'!$E$176</f>
        <v>167.2013036948301</v>
      </c>
      <c r="J79" s="337">
        <f>R16+R49</f>
        <v>3949.8625667397082</v>
      </c>
      <c r="K79" s="414"/>
      <c r="L79" s="398"/>
      <c r="M79" s="398"/>
      <c r="N79" s="398"/>
    </row>
    <row r="80" spans="1:14" ht="14.1" customHeight="1" x14ac:dyDescent="0.2">
      <c r="B80" s="411"/>
      <c r="C80" s="95" t="s">
        <v>345</v>
      </c>
      <c r="D80" s="346">
        <f>SUM(D76:D79)</f>
        <v>1572.5513671925858</v>
      </c>
      <c r="E80" s="347">
        <f t="shared" ref="E80" si="19">SUM(E76:E79)</f>
        <v>37.494627847220826</v>
      </c>
      <c r="F80" s="348">
        <f t="shared" ref="F80" si="20">SUM(F76:F79)</f>
        <v>2.404522988728627</v>
      </c>
      <c r="G80" s="348">
        <f t="shared" ref="G80" si="21">SUM(G76:G79)</f>
        <v>60.113074718215671</v>
      </c>
      <c r="H80" s="349">
        <f t="shared" ref="H80" si="22">SUM(H76:H79)</f>
        <v>646.17862872774822</v>
      </c>
      <c r="I80" s="350">
        <f>H80*'Parab Camarones'!$E$176</f>
        <v>344.50083723812708</v>
      </c>
      <c r="J80" s="346">
        <f t="shared" ref="J80" si="23">SUM(J76:J79)</f>
        <v>6877.1637745384451</v>
      </c>
      <c r="K80" s="412">
        <f>J80/(2*1000*'Parab Camarones'!$E$64)</f>
        <v>0.39831594812958859</v>
      </c>
      <c r="L80" s="397"/>
      <c r="M80" s="397"/>
      <c r="N80" s="397"/>
    </row>
    <row r="81" spans="2:14" ht="14.1" customHeight="1" x14ac:dyDescent="0.2">
      <c r="B81" s="413"/>
      <c r="C81" s="330" t="s">
        <v>332</v>
      </c>
      <c r="D81" s="344">
        <f>E50</f>
        <v>207.87982317378803</v>
      </c>
      <c r="E81" s="345">
        <f>G50</f>
        <v>7.8994332806039465</v>
      </c>
      <c r="F81" s="79">
        <f>H50</f>
        <v>0.56875919620348425</v>
      </c>
      <c r="G81" s="79">
        <f>I50</f>
        <v>14.218979905087107</v>
      </c>
      <c r="H81" s="97">
        <f>J50</f>
        <v>152.84529996254568</v>
      </c>
      <c r="I81" s="352">
        <f>H81*'Parab Camarones'!$E$176</f>
        <v>81.487272193885445</v>
      </c>
      <c r="J81" s="344">
        <f>R50</f>
        <v>858.51081264196068</v>
      </c>
      <c r="K81" s="414"/>
      <c r="L81" s="398"/>
      <c r="M81" s="398"/>
      <c r="N81" s="398"/>
    </row>
    <row r="82" spans="2:14" ht="14.1" customHeight="1" x14ac:dyDescent="0.2">
      <c r="B82" s="409"/>
      <c r="C82" s="68" t="s">
        <v>74</v>
      </c>
      <c r="D82" s="70">
        <f>E17</f>
        <v>4.4135843561313797</v>
      </c>
      <c r="E82" s="336">
        <f>G17</f>
        <v>0.23171317869689742</v>
      </c>
      <c r="F82" s="71">
        <f>H17</f>
        <v>1.6683348866176617E-2</v>
      </c>
      <c r="G82" s="71">
        <f>I17</f>
        <v>0.41708372165441543</v>
      </c>
      <c r="H82" s="98">
        <f>J17</f>
        <v>4.4833938138527456</v>
      </c>
      <c r="I82" s="354">
        <f>H82*'Parab Camarones'!$E$176</f>
        <v>2.3902568947250997</v>
      </c>
      <c r="J82" s="70">
        <f>R17</f>
        <v>58.474477603782717</v>
      </c>
      <c r="K82" s="414"/>
      <c r="L82" s="398"/>
      <c r="M82" s="398"/>
      <c r="N82" s="398"/>
    </row>
    <row r="83" spans="2:14" ht="14.1" customHeight="1" x14ac:dyDescent="0.2">
      <c r="B83" s="410">
        <v>4</v>
      </c>
      <c r="C83" s="68" t="s">
        <v>73</v>
      </c>
      <c r="D83" s="70">
        <f>E18+E51</f>
        <v>583.52440130848606</v>
      </c>
      <c r="E83" s="336">
        <f t="shared" ref="E83:H84" si="24">G18+G51</f>
        <v>12.763472469706453</v>
      </c>
      <c r="F83" s="71">
        <f t="shared" si="24"/>
        <v>0.8077518937766609</v>
      </c>
      <c r="G83" s="71">
        <f t="shared" si="24"/>
        <v>20.19379734441652</v>
      </c>
      <c r="H83" s="98">
        <f t="shared" si="24"/>
        <v>217.07091740005478</v>
      </c>
      <c r="I83" s="353">
        <f>H83*'Parab Camarones'!$E$176</f>
        <v>115.72823590839371</v>
      </c>
      <c r="J83" s="70">
        <f>R18+R51</f>
        <v>2575.9758328324651</v>
      </c>
      <c r="K83" s="414"/>
      <c r="L83" s="398"/>
      <c r="M83" s="398"/>
      <c r="N83" s="398"/>
    </row>
    <row r="84" spans="2:14" ht="14.1" customHeight="1" x14ac:dyDescent="0.2">
      <c r="B84" s="410"/>
      <c r="C84" s="68" t="s">
        <v>72</v>
      </c>
      <c r="D84" s="337">
        <f>E19+E52</f>
        <v>977.97062812108584</v>
      </c>
      <c r="E84" s="338">
        <f t="shared" si="24"/>
        <v>20.157407341400216</v>
      </c>
      <c r="F84" s="71">
        <f t="shared" si="24"/>
        <v>1.2486130985071047</v>
      </c>
      <c r="G84" s="71">
        <f t="shared" si="24"/>
        <v>31.215327462677617</v>
      </c>
      <c r="H84" s="98">
        <f t="shared" si="24"/>
        <v>335.54559618971638</v>
      </c>
      <c r="I84" s="353">
        <f>H84*'Parab Camarones'!$E$176</f>
        <v>178.89130602557776</v>
      </c>
      <c r="J84" s="337">
        <f>R19+R52</f>
        <v>4245.6737145041543</v>
      </c>
      <c r="K84" s="414"/>
      <c r="L84" s="398"/>
      <c r="M84" s="398"/>
      <c r="N84" s="398"/>
    </row>
    <row r="85" spans="2:14" ht="14.1" customHeight="1" x14ac:dyDescent="0.2">
      <c r="B85" s="411"/>
      <c r="C85" s="95" t="s">
        <v>345</v>
      </c>
      <c r="D85" s="346">
        <f>SUM(D81:D84)</f>
        <v>1773.7884369594913</v>
      </c>
      <c r="E85" s="347">
        <f t="shared" ref="E85" si="25">SUM(E81:E84)</f>
        <v>41.052026270407509</v>
      </c>
      <c r="F85" s="348">
        <f t="shared" ref="F85" si="26">SUM(F81:F84)</f>
        <v>2.6418075373534267</v>
      </c>
      <c r="G85" s="348">
        <f t="shared" ref="G85" si="27">SUM(G81:G84)</f>
        <v>66.045188433835662</v>
      </c>
      <c r="H85" s="346">
        <f t="shared" ref="H85" si="28">SUM(H81:H84)</f>
        <v>709.9452073661696</v>
      </c>
      <c r="I85" s="350">
        <f>H85*'Parab Camarones'!$E$176</f>
        <v>378.49707102258202</v>
      </c>
      <c r="J85" s="346">
        <f t="shared" ref="J85" si="29">SUM(J81:J84)</f>
        <v>7738.6348375823627</v>
      </c>
      <c r="K85" s="412">
        <f>J85/(2*1000*'Parab Camarones'!$E$64)</f>
        <v>0.44821117740025868</v>
      </c>
      <c r="L85" s="397"/>
      <c r="M85" s="397"/>
      <c r="N85" s="397"/>
    </row>
    <row r="86" spans="2:14" ht="14.1" customHeight="1" x14ac:dyDescent="0.2">
      <c r="B86" s="407"/>
      <c r="C86" s="330" t="s">
        <v>332</v>
      </c>
      <c r="D86" s="78">
        <f>E53</f>
        <v>268.34592885278795</v>
      </c>
      <c r="E86" s="335">
        <f>G53</f>
        <v>9.6604534387003671</v>
      </c>
      <c r="F86" s="79">
        <f>H53</f>
        <v>0.69555264758642654</v>
      </c>
      <c r="G86" s="79">
        <f>I53</f>
        <v>17.388816189660663</v>
      </c>
      <c r="H86" s="78">
        <f>J53</f>
        <v>186.91909294782653</v>
      </c>
      <c r="I86" s="342">
        <f>H86*'Parab Camarones'!$E$176</f>
        <v>99.653224593796182</v>
      </c>
      <c r="J86" s="78">
        <f>R53</f>
        <v>1110.4070560496427</v>
      </c>
      <c r="K86" s="414"/>
      <c r="L86" s="398"/>
      <c r="M86" s="398"/>
      <c r="N86" s="398"/>
    </row>
    <row r="87" spans="2:14" ht="14.1" customHeight="1" x14ac:dyDescent="0.2">
      <c r="B87" s="409"/>
      <c r="C87" s="68" t="s">
        <v>74</v>
      </c>
      <c r="D87" s="70">
        <f>E20</f>
        <v>7.0617349698102077</v>
      </c>
      <c r="E87" s="336">
        <f>G20</f>
        <v>0.33896327855088998</v>
      </c>
      <c r="F87" s="71">
        <f>H20</f>
        <v>2.4405356055664081E-2</v>
      </c>
      <c r="G87" s="71">
        <f>I20</f>
        <v>0.61013390139160206</v>
      </c>
      <c r="H87" s="70">
        <f>J20</f>
        <v>6.558564664836017</v>
      </c>
      <c r="I87" s="351">
        <f>H87*'Parab Camarones'!$E$176</f>
        <v>3.496604371712146</v>
      </c>
      <c r="J87" s="70">
        <f>R20</f>
        <v>87.041919411250845</v>
      </c>
      <c r="K87" s="414"/>
      <c r="L87" s="398"/>
      <c r="M87" s="398"/>
      <c r="N87" s="398"/>
    </row>
    <row r="88" spans="2:14" ht="14.1" customHeight="1" x14ac:dyDescent="0.2">
      <c r="B88" s="410">
        <v>5</v>
      </c>
      <c r="C88" s="68" t="s">
        <v>73</v>
      </c>
      <c r="D88" s="70">
        <f>E21+E54</f>
        <v>650.73887746801074</v>
      </c>
      <c r="E88" s="336">
        <f t="shared" ref="E88:H89" si="30">G21+G54</f>
        <v>14.243475298263633</v>
      </c>
      <c r="F88" s="71">
        <f t="shared" si="30"/>
        <v>0.90048560875731265</v>
      </c>
      <c r="G88" s="71">
        <f t="shared" si="30"/>
        <v>22.512140218932817</v>
      </c>
      <c r="H88" s="70">
        <f t="shared" si="30"/>
        <v>241.99167925757024</v>
      </c>
      <c r="I88" s="343">
        <f>H88*'Parab Camarones'!$E$176</f>
        <v>129.01438147688671</v>
      </c>
      <c r="J88" s="70">
        <f>R21+R54</f>
        <v>2875.1444374365324</v>
      </c>
      <c r="K88" s="414"/>
      <c r="L88" s="398"/>
      <c r="M88" s="398"/>
      <c r="N88" s="398"/>
    </row>
    <row r="89" spans="2:14" ht="14.1" customHeight="1" x14ac:dyDescent="0.2">
      <c r="B89" s="410"/>
      <c r="C89" s="68" t="s">
        <v>72</v>
      </c>
      <c r="D89" s="337">
        <f>E22+E55</f>
        <v>1084.696085202665</v>
      </c>
      <c r="E89" s="338">
        <f t="shared" si="30"/>
        <v>22.441415177776427</v>
      </c>
      <c r="F89" s="71">
        <f t="shared" si="30"/>
        <v>1.3764510934798415</v>
      </c>
      <c r="G89" s="71">
        <f t="shared" si="30"/>
        <v>34.411277336996037</v>
      </c>
      <c r="H89" s="70">
        <f t="shared" si="30"/>
        <v>369.90009422446599</v>
      </c>
      <c r="I89" s="343">
        <f>H89*'Parab Camarones'!$E$176</f>
        <v>197.20691228319865</v>
      </c>
      <c r="J89" s="337">
        <f>R22+R55</f>
        <v>4654.0824169797324</v>
      </c>
      <c r="K89" s="414"/>
      <c r="L89" s="398"/>
      <c r="M89" s="398"/>
      <c r="N89" s="398"/>
    </row>
    <row r="90" spans="2:14" ht="14.1" customHeight="1" x14ac:dyDescent="0.2">
      <c r="B90" s="411"/>
      <c r="C90" s="95" t="s">
        <v>345</v>
      </c>
      <c r="D90" s="346">
        <f>SUM(D86:D89)</f>
        <v>2010.8426264932739</v>
      </c>
      <c r="E90" s="347">
        <f t="shared" ref="E90" si="31">SUM(E86:E89)</f>
        <v>46.684307193291318</v>
      </c>
      <c r="F90" s="348">
        <f t="shared" ref="F90" si="32">SUM(F86:F89)</f>
        <v>2.996894705879245</v>
      </c>
      <c r="G90" s="348">
        <f t="shared" ref="G90" si="33">SUM(G86:G89)</f>
        <v>74.922367646981115</v>
      </c>
      <c r="H90" s="346">
        <f t="shared" ref="H90" si="34">SUM(H86:H89)</f>
        <v>805.36943109469871</v>
      </c>
      <c r="I90" s="350">
        <f>H90*'Parab Camarones'!$E$176</f>
        <v>429.37112272559364</v>
      </c>
      <c r="J90" s="346">
        <f t="shared" ref="J90" si="35">SUM(J86:J89)</f>
        <v>8726.6758298771583</v>
      </c>
      <c r="K90" s="412">
        <f>J90/(2*1000*'Parab Camarones'!$E$64)</f>
        <v>0.50543716438254693</v>
      </c>
      <c r="L90" s="397"/>
      <c r="M90" s="397"/>
      <c r="N90" s="397"/>
    </row>
    <row r="91" spans="2:14" ht="14.1" customHeight="1" x14ac:dyDescent="0.2">
      <c r="B91" s="413"/>
      <c r="C91" s="330" t="s">
        <v>332</v>
      </c>
      <c r="D91" s="78">
        <f>E56</f>
        <v>328.81203453178784</v>
      </c>
      <c r="E91" s="345">
        <f>G56</f>
        <v>9.2067369668900607</v>
      </c>
      <c r="F91" s="79">
        <f>H56</f>
        <v>0.6628850616160844</v>
      </c>
      <c r="G91" s="79">
        <f>I56</f>
        <v>16.57212654040211</v>
      </c>
      <c r="H91" s="78">
        <f>J56</f>
        <v>178.1401808704158</v>
      </c>
      <c r="I91" s="352">
        <f>H91*'Parab Camarones'!$E$176</f>
        <v>94.972873950410644</v>
      </c>
      <c r="J91" s="344">
        <f>R56</f>
        <v>1362.750864721995</v>
      </c>
      <c r="K91" s="414"/>
      <c r="L91" s="398"/>
      <c r="M91" s="398"/>
      <c r="N91" s="398"/>
    </row>
    <row r="92" spans="2:14" ht="14.1" customHeight="1" x14ac:dyDescent="0.2">
      <c r="B92" s="409"/>
      <c r="C92" s="68" t="s">
        <v>74</v>
      </c>
      <c r="D92" s="337">
        <f>E23</f>
        <v>10.592602454715312</v>
      </c>
      <c r="E92" s="338">
        <f>G23</f>
        <v>0.48725971291690434</v>
      </c>
      <c r="F92" s="71">
        <f>H23</f>
        <v>3.508269933001712E-2</v>
      </c>
      <c r="G92" s="71">
        <f>I23</f>
        <v>0.87706748325042794</v>
      </c>
      <c r="H92" s="70">
        <f>J23</f>
        <v>9.4279367057017733</v>
      </c>
      <c r="I92" s="354">
        <f>H92*'Parab Camarones'!$E$176</f>
        <v>5.026368784336209</v>
      </c>
      <c r="J92" s="337">
        <f>R23</f>
        <v>121.79764879843697</v>
      </c>
      <c r="K92" s="414"/>
      <c r="L92" s="398"/>
      <c r="M92" s="398"/>
      <c r="N92" s="398"/>
    </row>
    <row r="93" spans="2:14" ht="14.1" customHeight="1" x14ac:dyDescent="0.2">
      <c r="B93" s="410">
        <v>6</v>
      </c>
      <c r="C93" s="68" t="s">
        <v>73</v>
      </c>
      <c r="D93" s="70">
        <f>E24+E57</f>
        <v>717.95335362753565</v>
      </c>
      <c r="E93" s="336">
        <f t="shared" ref="E93:H94" si="36">G24+G57</f>
        <v>15.018368303669618</v>
      </c>
      <c r="F93" s="71">
        <f t="shared" si="36"/>
        <v>0.94836629037311682</v>
      </c>
      <c r="G93" s="71">
        <f t="shared" si="36"/>
        <v>23.709157259327924</v>
      </c>
      <c r="H93" s="70">
        <f t="shared" si="36"/>
        <v>254.85887717336524</v>
      </c>
      <c r="I93" s="353">
        <f>H93*'Parab Camarones'!$E$176</f>
        <v>135.87434288357647</v>
      </c>
      <c r="J93" s="70">
        <f>R24+R57</f>
        <v>3168.6090086070535</v>
      </c>
      <c r="K93" s="414"/>
      <c r="L93" s="398"/>
      <c r="M93" s="398"/>
      <c r="N93" s="398"/>
    </row>
    <row r="94" spans="2:14" ht="14.1" customHeight="1" x14ac:dyDescent="0.2">
      <c r="B94" s="410"/>
      <c r="C94" s="68" t="s">
        <v>72</v>
      </c>
      <c r="D94" s="70">
        <f>E25+E58</f>
        <v>1166.5050931601402</v>
      </c>
      <c r="E94" s="336">
        <f t="shared" si="36"/>
        <v>24.027762438677719</v>
      </c>
      <c r="F94" s="71">
        <f t="shared" si="36"/>
        <v>1.4708013808297822</v>
      </c>
      <c r="G94" s="71">
        <f t="shared" si="36"/>
        <v>36.770034520744552</v>
      </c>
      <c r="H94" s="70">
        <f t="shared" si="36"/>
        <v>395.25528508171357</v>
      </c>
      <c r="I94" s="353">
        <f>H94*'Parab Camarones'!$E$176</f>
        <v>210.72466742135956</v>
      </c>
      <c r="J94" s="70">
        <f>R25+R58</f>
        <v>5001.0463072623697</v>
      </c>
      <c r="K94" s="414"/>
      <c r="L94" s="398"/>
      <c r="M94" s="398"/>
      <c r="N94" s="398"/>
    </row>
    <row r="95" spans="2:14" ht="14.1" customHeight="1" thickBot="1" x14ac:dyDescent="0.25">
      <c r="B95" s="415"/>
      <c r="C95" s="416" t="s">
        <v>345</v>
      </c>
      <c r="D95" s="417">
        <f>SUM(D91:D94)</f>
        <v>2223.8630837741789</v>
      </c>
      <c r="E95" s="418">
        <f t="shared" ref="E95" si="37">SUM(E91:E94)</f>
        <v>48.740127422154302</v>
      </c>
      <c r="F95" s="419">
        <f t="shared" ref="F95" si="38">SUM(F91:F94)</f>
        <v>3.1171354321490004</v>
      </c>
      <c r="G95" s="419">
        <f t="shared" ref="G95" si="39">SUM(G91:G94)</f>
        <v>77.928385803725007</v>
      </c>
      <c r="H95" s="417">
        <f t="shared" ref="H95" si="40">SUM(H91:H94)</f>
        <v>837.68227983119641</v>
      </c>
      <c r="I95" s="420">
        <f>H95*'Parab Camarones'!$E$176</f>
        <v>446.5982530396829</v>
      </c>
      <c r="J95" s="417">
        <f t="shared" ref="J95" si="41">SUM(J91:J94)</f>
        <v>9654.2038293898549</v>
      </c>
      <c r="K95" s="421">
        <f>J95/(2*1000*'Parab Camarones'!$E$64)</f>
        <v>0.5591583213383351</v>
      </c>
      <c r="L95" s="397"/>
      <c r="M95" s="397"/>
      <c r="N95" s="397"/>
    </row>
    <row r="96" spans="2:14" x14ac:dyDescent="0.2">
      <c r="B96" s="369"/>
      <c r="C96" s="370"/>
      <c r="D96" s="371"/>
      <c r="E96" s="372"/>
      <c r="G96" s="532" t="s">
        <v>425</v>
      </c>
      <c r="H96" s="346">
        <f>(H70+H75+H80+H85+H90+H95)/(B93*'Parab Camarones'!E108)</f>
        <v>193.59679890643719</v>
      </c>
      <c r="I96" s="346">
        <f>(I70+I75+I80+I85+I90+I95)/(B93*'Parab Camarones'!$E$108)</f>
        <v>103.21334743181201</v>
      </c>
      <c r="J96" s="350">
        <f>AVERAGE(J70,J75,J80,J85,J90,J95)</f>
        <v>7370.4724297217081</v>
      </c>
      <c r="K96" s="377">
        <f>AVERAGE(K70:K95)</f>
        <v>0.4268877127627555</v>
      </c>
      <c r="L96" s="397"/>
      <c r="M96" s="397"/>
      <c r="N96" s="397"/>
    </row>
    <row r="97" spans="4:11" x14ac:dyDescent="0.2">
      <c r="G97" s="532" t="s">
        <v>426</v>
      </c>
      <c r="H97" s="375">
        <f>H96-H98</f>
        <v>99.690763069544445</v>
      </c>
      <c r="I97" s="375">
        <f>I96-I98</f>
        <v>53.148695756132234</v>
      </c>
      <c r="J97" s="376"/>
    </row>
    <row r="98" spans="4:11" x14ac:dyDescent="0.2">
      <c r="G98" s="532" t="s">
        <v>427</v>
      </c>
      <c r="H98" s="375">
        <f>(H69+H74+H79+H84+H89+H94)/(B93*'Parab Camarones'!E108)</f>
        <v>93.906035836892741</v>
      </c>
      <c r="I98" s="375">
        <f>(I69+I74+I79+I84+I89+I94)/($D$131*'Parab Camarones'!$E$108)</f>
        <v>50.064651675679777</v>
      </c>
      <c r="J98" s="376"/>
    </row>
    <row r="101" spans="4:11" ht="15.75" x14ac:dyDescent="0.2">
      <c r="D101" s="376"/>
      <c r="G101" s="311" t="s">
        <v>591</v>
      </c>
    </row>
    <row r="102" spans="4:11" ht="13.5" thickBot="1" x14ac:dyDescent="0.25">
      <c r="E102" s="66"/>
      <c r="F102" s="66"/>
      <c r="G102" s="66"/>
    </row>
    <row r="103" spans="4:11" ht="38.25" x14ac:dyDescent="0.2">
      <c r="D103" s="404" t="s">
        <v>112</v>
      </c>
      <c r="E103" s="405" t="s">
        <v>77</v>
      </c>
      <c r="F103" s="405" t="s">
        <v>352</v>
      </c>
      <c r="G103" s="405" t="s">
        <v>557</v>
      </c>
      <c r="H103" s="405" t="s">
        <v>354</v>
      </c>
      <c r="I103" s="828" t="s">
        <v>549</v>
      </c>
      <c r="J103" s="828" t="s">
        <v>575</v>
      </c>
      <c r="K103" s="843"/>
    </row>
    <row r="104" spans="4:11" x14ac:dyDescent="0.2">
      <c r="D104" s="406"/>
      <c r="E104" s="93"/>
      <c r="F104" s="94"/>
      <c r="G104" s="95" t="s">
        <v>353</v>
      </c>
      <c r="H104" s="95" t="s">
        <v>353</v>
      </c>
      <c r="I104" s="829" t="s">
        <v>353</v>
      </c>
      <c r="J104" s="829" t="s">
        <v>584</v>
      </c>
      <c r="K104" s="844"/>
    </row>
    <row r="105" spans="4:11" x14ac:dyDescent="0.2">
      <c r="D105" s="407"/>
      <c r="E105" s="330" t="s">
        <v>332</v>
      </c>
      <c r="F105" s="357">
        <f>E66/$E$95</f>
        <v>3.8032428875690583E-2</v>
      </c>
      <c r="G105" s="97">
        <f t="shared" ref="G105:G133" si="42">$G$134*F105</f>
        <v>865.06253380175053</v>
      </c>
      <c r="H105" s="70">
        <f>1000*F105*'Parab Camarones'!$E$85</f>
        <v>1521.9700897031535</v>
      </c>
      <c r="I105" s="830">
        <f t="shared" ref="I105:I133" si="43">F105*$I$134</f>
        <v>2743.1669149642184</v>
      </c>
      <c r="J105" s="837">
        <f>F105*'Parab Camarones'!$E$106</f>
        <v>1.3394516652414201</v>
      </c>
      <c r="K105" s="845"/>
    </row>
    <row r="106" spans="4:11" x14ac:dyDescent="0.2">
      <c r="D106" s="410">
        <v>1</v>
      </c>
      <c r="E106" s="68" t="s">
        <v>74</v>
      </c>
      <c r="F106" s="358">
        <f>E67/$E$95</f>
        <v>1.6299612375295961E-3</v>
      </c>
      <c r="G106" s="98">
        <f t="shared" si="42"/>
        <v>37.074108591503588</v>
      </c>
      <c r="H106" s="70">
        <f>1000*F106*'Parab Camarones'!$E$85</f>
        <v>65.227289558706573</v>
      </c>
      <c r="I106" s="831">
        <f t="shared" si="43"/>
        <v>117.56429635560933</v>
      </c>
      <c r="J106" s="837">
        <f>F106*'Parab Camarones'!$E$106</f>
        <v>5.7405071367489423E-2</v>
      </c>
      <c r="K106" s="845"/>
    </row>
    <row r="107" spans="4:11" x14ac:dyDescent="0.2">
      <c r="D107" s="410"/>
      <c r="E107" s="68" t="s">
        <v>73</v>
      </c>
      <c r="F107" s="358">
        <f>E68/$E$95</f>
        <v>0.21302180741439294</v>
      </c>
      <c r="G107" s="98">
        <f t="shared" si="42"/>
        <v>4845.2646839683921</v>
      </c>
      <c r="H107" s="70">
        <f>1000*F107*'Parab Camarones'!$E$85</f>
        <v>8524.6414421467725</v>
      </c>
      <c r="I107" s="832">
        <f t="shared" si="43"/>
        <v>15364.634643109724</v>
      </c>
      <c r="J107" s="837">
        <f>F107*'Parab Camarones'!$E$106</f>
        <v>7.5023453171123489</v>
      </c>
      <c r="K107" s="845"/>
    </row>
    <row r="108" spans="4:11" x14ac:dyDescent="0.2">
      <c r="D108" s="410"/>
      <c r="E108" s="68" t="s">
        <v>72</v>
      </c>
      <c r="F108" s="358">
        <f>E69/$E$95</f>
        <v>0.32853773985988888</v>
      </c>
      <c r="G108" s="98">
        <f t="shared" si="42"/>
        <v>7472.7199417535312</v>
      </c>
      <c r="H108" s="337">
        <f>1000*F108*'Parab Camarones'!$E$85</f>
        <v>13147.322645097485</v>
      </c>
      <c r="I108" s="832">
        <f t="shared" si="43"/>
        <v>23696.458126470468</v>
      </c>
      <c r="J108" s="837">
        <f>F108*'Parab Camarones'!$E$106</f>
        <v>11.570663135618371</v>
      </c>
      <c r="K108" s="845"/>
    </row>
    <row r="109" spans="4:11" x14ac:dyDescent="0.2">
      <c r="D109" s="411"/>
      <c r="E109" s="95" t="s">
        <v>345</v>
      </c>
      <c r="F109" s="359">
        <f>SUM(F105:F108)</f>
        <v>0.58122193738750205</v>
      </c>
      <c r="G109" s="346">
        <f t="shared" si="42"/>
        <v>13220.121268115179</v>
      </c>
      <c r="H109" s="346">
        <f>SUM(H105:H108)</f>
        <v>23259.161466506121</v>
      </c>
      <c r="I109" s="833">
        <f t="shared" si="43"/>
        <v>41921.823980900022</v>
      </c>
      <c r="J109" s="838">
        <f>SUM(J105:J108)</f>
        <v>20.469865189339629</v>
      </c>
      <c r="K109" s="846"/>
    </row>
    <row r="110" spans="4:11" x14ac:dyDescent="0.2">
      <c r="D110" s="413"/>
      <c r="E110" s="330" t="s">
        <v>332</v>
      </c>
      <c r="F110" s="357">
        <f>E71/$E$95</f>
        <v>0.10703412126444349</v>
      </c>
      <c r="G110" s="78">
        <f t="shared" si="42"/>
        <v>2434.5331308420691</v>
      </c>
      <c r="H110" s="78">
        <f>1000*F110*'Parab Camarones'!$E$85</f>
        <v>4283.2586810217308</v>
      </c>
      <c r="I110" s="830">
        <f t="shared" si="43"/>
        <v>7720.0554606850137</v>
      </c>
      <c r="J110" s="837">
        <f>F110*'Parab Camarones'!$E$106</f>
        <v>3.7695996864651393</v>
      </c>
      <c r="K110" s="845"/>
    </row>
    <row r="111" spans="4:11" x14ac:dyDescent="0.2">
      <c r="D111" s="410">
        <v>2</v>
      </c>
      <c r="E111" s="68" t="s">
        <v>74</v>
      </c>
      <c r="F111" s="358">
        <f>E72/$E$95</f>
        <v>2.1732816500394619E-3</v>
      </c>
      <c r="G111" s="70">
        <f t="shared" si="42"/>
        <v>49.432144788671458</v>
      </c>
      <c r="H111" s="70">
        <f>1000*F111*'Parab Camarones'!$E$85</f>
        <v>86.969719411608779</v>
      </c>
      <c r="I111" s="832">
        <f t="shared" si="43"/>
        <v>156.75239514081247</v>
      </c>
      <c r="J111" s="837">
        <f>F111*'Parab Camarones'!$E$106</f>
        <v>7.6540095156652582E-2</v>
      </c>
      <c r="K111" s="845"/>
    </row>
    <row r="112" spans="4:11" x14ac:dyDescent="0.2">
      <c r="D112" s="410"/>
      <c r="E112" s="68" t="s">
        <v>73</v>
      </c>
      <c r="F112" s="358">
        <f>E73/$E$95</f>
        <v>0.22957026053861848</v>
      </c>
      <c r="G112" s="70">
        <f t="shared" si="42"/>
        <v>5221.6657504617324</v>
      </c>
      <c r="H112" s="70">
        <f>1000*F112*'Parab Camarones'!$E$85</f>
        <v>9186.8723706064684</v>
      </c>
      <c r="I112" s="832">
        <f t="shared" si="43"/>
        <v>16558.225755909443</v>
      </c>
      <c r="J112" s="837">
        <f>F112*'Parab Camarones'!$E$106</f>
        <v>8.0851598716826825</v>
      </c>
      <c r="K112" s="845"/>
    </row>
    <row r="113" spans="4:11" x14ac:dyDescent="0.2">
      <c r="D113" s="410"/>
      <c r="E113" s="68" t="s">
        <v>72</v>
      </c>
      <c r="F113" s="358">
        <f>E74/$E$95</f>
        <v>0.35716550972319872</v>
      </c>
      <c r="G113" s="70">
        <f t="shared" si="42"/>
        <v>8123.8698121967855</v>
      </c>
      <c r="H113" s="337">
        <f>1000*F113*'Parab Camarones'!$E$85</f>
        <v>14292.939971018846</v>
      </c>
      <c r="I113" s="832">
        <f t="shared" si="43"/>
        <v>25761.294726702337</v>
      </c>
      <c r="J113" s="837">
        <f>F113*'Parab Camarones'!$E$106</f>
        <v>12.578895193078893</v>
      </c>
      <c r="K113" s="845"/>
    </row>
    <row r="114" spans="4:11" x14ac:dyDescent="0.2">
      <c r="D114" s="411"/>
      <c r="E114" s="95" t="s">
        <v>345</v>
      </c>
      <c r="F114" s="359">
        <f>SUM(F110:F113)</f>
        <v>0.69594317317630017</v>
      </c>
      <c r="G114" s="346">
        <f t="shared" si="42"/>
        <v>15829.500838289259</v>
      </c>
      <c r="H114" s="346">
        <f>SUM(H110:H113)</f>
        <v>27850.040742058656</v>
      </c>
      <c r="I114" s="833">
        <f t="shared" si="43"/>
        <v>50196.328338437612</v>
      </c>
      <c r="J114" s="838">
        <f>SUM(J110:J113)</f>
        <v>24.510194846383367</v>
      </c>
      <c r="K114" s="846"/>
    </row>
    <row r="115" spans="4:11" x14ac:dyDescent="0.2">
      <c r="D115" s="407"/>
      <c r="E115" s="330" t="s">
        <v>332</v>
      </c>
      <c r="F115" s="357">
        <f>E76/$E$95</f>
        <v>0.12702831244480656</v>
      </c>
      <c r="G115" s="78">
        <f t="shared" si="42"/>
        <v>2889.3088628978471</v>
      </c>
      <c r="H115" s="78">
        <f>1000*F115*'Parab Camarones'!$E$85</f>
        <v>5083.3800996085329</v>
      </c>
      <c r="I115" s="830">
        <f t="shared" si="43"/>
        <v>9162.1774959804898</v>
      </c>
      <c r="J115" s="837">
        <f>F115*'Parab Camarones'!$E$106</f>
        <v>4.4737685619063434</v>
      </c>
      <c r="K115" s="845"/>
    </row>
    <row r="116" spans="4:11" x14ac:dyDescent="0.2">
      <c r="D116" s="410">
        <v>3</v>
      </c>
      <c r="E116" s="68" t="s">
        <v>74</v>
      </c>
      <c r="F116" s="358">
        <f>E77/$E$95</f>
        <v>3.2599224750591922E-3</v>
      </c>
      <c r="G116" s="70">
        <f t="shared" si="42"/>
        <v>74.148217183007176</v>
      </c>
      <c r="H116" s="70">
        <f>1000*F116*'Parab Camarones'!$E$85</f>
        <v>130.45457911741315</v>
      </c>
      <c r="I116" s="832">
        <f t="shared" si="43"/>
        <v>235.12859271121866</v>
      </c>
      <c r="J116" s="837">
        <f>F116*'Parab Camarones'!$E$106</f>
        <v>0.11481014273497885</v>
      </c>
      <c r="K116" s="845"/>
    </row>
    <row r="117" spans="4:11" x14ac:dyDescent="0.2">
      <c r="D117" s="410"/>
      <c r="E117" s="68" t="s">
        <v>73</v>
      </c>
      <c r="F117" s="358">
        <f>E78/$E$95</f>
        <v>0.25251323270447673</v>
      </c>
      <c r="G117" s="70">
        <f t="shared" si="42"/>
        <v>5743.5126643049389</v>
      </c>
      <c r="H117" s="70">
        <f>1000*F117*'Parab Camarones'!$E$85</f>
        <v>10104.997203481587</v>
      </c>
      <c r="I117" s="832">
        <f t="shared" si="43"/>
        <v>18213.034666011812</v>
      </c>
      <c r="J117" s="837">
        <f>F117*'Parab Camarones'!$E$106</f>
        <v>8.8931808995689376</v>
      </c>
      <c r="K117" s="845"/>
    </row>
    <row r="118" spans="4:11" x14ac:dyDescent="0.2">
      <c r="D118" s="410"/>
      <c r="E118" s="68" t="s">
        <v>72</v>
      </c>
      <c r="F118" s="358">
        <f>E79/$E$95</f>
        <v>0.38647489315468253</v>
      </c>
      <c r="G118" s="70">
        <f t="shared" si="42"/>
        <v>8790.5232509839243</v>
      </c>
      <c r="H118" s="337">
        <f>1000*F118*'Parab Camarones'!$E$85</f>
        <v>15465.83389993833</v>
      </c>
      <c r="I118" s="832">
        <f t="shared" si="43"/>
        <v>27875.2941031302</v>
      </c>
      <c r="J118" s="837">
        <f>F118*'Parab Camarones'!$E$106</f>
        <v>13.611132775717046</v>
      </c>
      <c r="K118" s="845"/>
    </row>
    <row r="119" spans="4:11" x14ac:dyDescent="0.2">
      <c r="D119" s="411"/>
      <c r="E119" s="95" t="s">
        <v>345</v>
      </c>
      <c r="F119" s="359">
        <f>SUM(F115:F118)</f>
        <v>0.76927636077902495</v>
      </c>
      <c r="G119" s="346">
        <f t="shared" si="42"/>
        <v>17497.492995369717</v>
      </c>
      <c r="H119" s="346">
        <f>SUM(H115:H118)</f>
        <v>30784.665782145865</v>
      </c>
      <c r="I119" s="833">
        <f t="shared" si="43"/>
        <v>55485.634857833713</v>
      </c>
      <c r="J119" s="838">
        <f>SUM(J115:J118)</f>
        <v>27.092892379927306</v>
      </c>
      <c r="K119" s="846"/>
    </row>
    <row r="120" spans="4:11" x14ac:dyDescent="0.2">
      <c r="D120" s="413"/>
      <c r="E120" s="330" t="s">
        <v>332</v>
      </c>
      <c r="F120" s="357">
        <f>E81/$E$95</f>
        <v>0.16207247905169292</v>
      </c>
      <c r="G120" s="78">
        <f t="shared" si="42"/>
        <v>3686.4021976151753</v>
      </c>
      <c r="H120" s="344">
        <f>1000*F120*'Parab Camarones'!$E$85</f>
        <v>6485.7668251207251</v>
      </c>
      <c r="I120" s="830">
        <f t="shared" si="43"/>
        <v>11689.809867626094</v>
      </c>
      <c r="J120" s="837">
        <f>F120*'Parab Camarones'!$E$106</f>
        <v>5.7079775963073676</v>
      </c>
      <c r="K120" s="845"/>
    </row>
    <row r="121" spans="4:11" x14ac:dyDescent="0.2">
      <c r="D121" s="410">
        <v>4</v>
      </c>
      <c r="E121" s="68" t="s">
        <v>74</v>
      </c>
      <c r="F121" s="358">
        <f>E82/$E$95</f>
        <v>4.754053609461322E-3</v>
      </c>
      <c r="G121" s="70">
        <f t="shared" si="42"/>
        <v>108.13281672521879</v>
      </c>
      <c r="H121" s="70">
        <f>1000*F121*'Parab Camarones'!$E$85</f>
        <v>190.24626121289415</v>
      </c>
      <c r="I121" s="832">
        <f t="shared" si="43"/>
        <v>342.89586437052725</v>
      </c>
      <c r="J121" s="837">
        <f>F121*'Parab Camarones'!$E$106</f>
        <v>0.16743145815517749</v>
      </c>
      <c r="K121" s="845"/>
    </row>
    <row r="122" spans="4:11" x14ac:dyDescent="0.2">
      <c r="D122" s="410"/>
      <c r="E122" s="68" t="s">
        <v>73</v>
      </c>
      <c r="F122" s="358">
        <f>E83/$E$95</f>
        <v>0.26186785190686546</v>
      </c>
      <c r="G122" s="70">
        <f t="shared" si="42"/>
        <v>5956.2871525296787</v>
      </c>
      <c r="H122" s="70">
        <f>1000*F122*'Parab Camarones'!$E$85</f>
        <v>10479.347489473934</v>
      </c>
      <c r="I122" s="832">
        <f t="shared" si="43"/>
        <v>18887.755756846054</v>
      </c>
      <c r="J122" s="837">
        <f>F122*'Parab Camarones'!$E$106</f>
        <v>9.2226381716588577</v>
      </c>
      <c r="K122" s="845"/>
    </row>
    <row r="123" spans="4:11" x14ac:dyDescent="0.2">
      <c r="D123" s="410"/>
      <c r="E123" s="68" t="s">
        <v>72</v>
      </c>
      <c r="F123" s="358">
        <f>E84/$E$95</f>
        <v>0.41356903248960081</v>
      </c>
      <c r="G123" s="70">
        <f t="shared" si="42"/>
        <v>9406.7900926534348</v>
      </c>
      <c r="H123" s="337">
        <f>1000*F123*'Parab Camarones'!$E$85</f>
        <v>16550.078869113902</v>
      </c>
      <c r="I123" s="832">
        <f t="shared" si="43"/>
        <v>29829.514456921075</v>
      </c>
      <c r="J123" s="837">
        <f>F123*'Parab Camarones'!$E$106</f>
        <v>14.565352401527898</v>
      </c>
      <c r="K123" s="845"/>
    </row>
    <row r="124" spans="4:11" x14ac:dyDescent="0.2">
      <c r="D124" s="411"/>
      <c r="E124" s="95" t="s">
        <v>345</v>
      </c>
      <c r="F124" s="359">
        <f>SUM(F120:F123)</f>
        <v>0.84226341705762042</v>
      </c>
      <c r="G124" s="346">
        <f t="shared" si="42"/>
        <v>19157.612259523507</v>
      </c>
      <c r="H124" s="346">
        <f>SUM(H120:H123)</f>
        <v>33705.43944492146</v>
      </c>
      <c r="I124" s="833">
        <f t="shared" si="43"/>
        <v>60749.975945763748</v>
      </c>
      <c r="J124" s="838">
        <f>SUM(J120:J123)</f>
        <v>29.663399627649298</v>
      </c>
      <c r="K124" s="846"/>
    </row>
    <row r="125" spans="4:11" x14ac:dyDescent="0.2">
      <c r="D125" s="407"/>
      <c r="E125" s="330" t="s">
        <v>332</v>
      </c>
      <c r="F125" s="357">
        <f>E86/$E$95</f>
        <v>0.19820328648359897</v>
      </c>
      <c r="G125" s="78">
        <f t="shared" si="42"/>
        <v>4508.2116047268382</v>
      </c>
      <c r="H125" s="78">
        <f>1000*F125*'Parab Camarones'!$E$85</f>
        <v>7931.6384103387209</v>
      </c>
      <c r="I125" s="830">
        <f t="shared" si="43"/>
        <v>14295.818436842101</v>
      </c>
      <c r="J125" s="837">
        <f>F125*'Parab Camarones'!$E$106</f>
        <v>6.9804566782867168</v>
      </c>
      <c r="K125" s="845"/>
    </row>
    <row r="126" spans="4:11" x14ac:dyDescent="0.2">
      <c r="D126" s="410">
        <v>5</v>
      </c>
      <c r="E126" s="68" t="s">
        <v>74</v>
      </c>
      <c r="F126" s="358">
        <f>E87/$E$95</f>
        <v>6.9545012801262773E-3</v>
      </c>
      <c r="G126" s="70">
        <f t="shared" si="42"/>
        <v>158.18286332374865</v>
      </c>
      <c r="H126" s="70">
        <f>1000*F126*'Parab Camarones'!$E$85</f>
        <v>278.303102117148</v>
      </c>
      <c r="I126" s="832">
        <f t="shared" si="43"/>
        <v>501.60766445059988</v>
      </c>
      <c r="J126" s="837">
        <f>F126*'Parab Camarones'!$E$106</f>
        <v>0.24492830450128825</v>
      </c>
      <c r="K126" s="845"/>
    </row>
    <row r="127" spans="4:11" x14ac:dyDescent="0.2">
      <c r="D127" s="410"/>
      <c r="E127" s="68" t="s">
        <v>73</v>
      </c>
      <c r="F127" s="358">
        <f>E88/$E$95</f>
        <v>0.29223303367461889</v>
      </c>
      <c r="G127" s="70">
        <f t="shared" si="42"/>
        <v>6646.9551391896957</v>
      </c>
      <c r="H127" s="70">
        <f>1000*F127*'Parab Camarones'!$E$85</f>
        <v>11694.49203283124</v>
      </c>
      <c r="I127" s="832">
        <f t="shared" si="43"/>
        <v>21077.906753103282</v>
      </c>
      <c r="J127" s="837">
        <f>F127*'Parab Camarones'!$E$106</f>
        <v>10.292059570358239</v>
      </c>
      <c r="K127" s="845"/>
    </row>
    <row r="128" spans="4:11" x14ac:dyDescent="0.2">
      <c r="D128" s="410"/>
      <c r="E128" s="68" t="s">
        <v>72</v>
      </c>
      <c r="F128" s="358">
        <f>E89/$E$95</f>
        <v>0.46042996530156632</v>
      </c>
      <c r="G128" s="70">
        <f t="shared" si="42"/>
        <v>10472.660416295666</v>
      </c>
      <c r="H128" s="70">
        <f>1000*F128*'Parab Camarones'!$E$85</f>
        <v>18425.345325235172</v>
      </c>
      <c r="I128" s="832">
        <f t="shared" si="43"/>
        <v>33209.455320395864</v>
      </c>
      <c r="J128" s="837">
        <f>F128*'Parab Camarones'!$E$106</f>
        <v>16.215732257490064</v>
      </c>
      <c r="K128" s="845"/>
    </row>
    <row r="129" spans="4:11" x14ac:dyDescent="0.2">
      <c r="D129" s="411"/>
      <c r="E129" s="95" t="s">
        <v>345</v>
      </c>
      <c r="F129" s="359">
        <f>SUM(F125:F128)</f>
        <v>0.95782078673991045</v>
      </c>
      <c r="G129" s="346">
        <f t="shared" si="42"/>
        <v>21786.01002353595</v>
      </c>
      <c r="H129" s="346">
        <f>SUM(H125:H128)</f>
        <v>38329.778870522277</v>
      </c>
      <c r="I129" s="833">
        <f t="shared" si="43"/>
        <v>69084.788174791844</v>
      </c>
      <c r="J129" s="838">
        <f>SUM(J125:J128)</f>
        <v>33.733176810636309</v>
      </c>
      <c r="K129" s="846"/>
    </row>
    <row r="130" spans="4:11" x14ac:dyDescent="0.2">
      <c r="D130" s="413"/>
      <c r="E130" s="330" t="s">
        <v>332</v>
      </c>
      <c r="F130" s="357">
        <f>E91/$E$95</f>
        <v>0.18889439674926325</v>
      </c>
      <c r="G130" s="78">
        <f t="shared" si="42"/>
        <v>4296.4772512153613</v>
      </c>
      <c r="H130" s="344">
        <f>1000*F130*'Parab Camarones'!$E$85</f>
        <v>7559.1181121923291</v>
      </c>
      <c r="I130" s="830">
        <f t="shared" si="43"/>
        <v>13624.395677655619</v>
      </c>
      <c r="J130" s="837">
        <f>F130*'Parab Camarones'!$E$106</f>
        <v>6.652609937365721</v>
      </c>
      <c r="K130" s="845"/>
    </row>
    <row r="131" spans="4:11" x14ac:dyDescent="0.2">
      <c r="D131" s="410">
        <v>6</v>
      </c>
      <c r="E131" s="68" t="s">
        <v>74</v>
      </c>
      <c r="F131" s="358">
        <f>E92/$E$95</f>
        <v>9.9970955901815244E-3</v>
      </c>
      <c r="G131" s="70">
        <f t="shared" si="42"/>
        <v>227.38786602788869</v>
      </c>
      <c r="H131" s="70">
        <f>1000*F131*'Parab Camarones'!$E$85</f>
        <v>400.06070929340035</v>
      </c>
      <c r="I131" s="832">
        <f t="shared" si="43"/>
        <v>721.06101764773734</v>
      </c>
      <c r="J131" s="837">
        <f>F131*'Parab Camarones'!$E$106</f>
        <v>0.35208443772060188</v>
      </c>
      <c r="K131" s="845"/>
    </row>
    <row r="132" spans="4:11" x14ac:dyDescent="0.2">
      <c r="D132" s="410"/>
      <c r="E132" s="68" t="s">
        <v>73</v>
      </c>
      <c r="F132" s="358">
        <f>E93/$E$95</f>
        <v>0.30813149447867838</v>
      </c>
      <c r="G132" s="70">
        <f t="shared" si="42"/>
        <v>7008.5718750458218</v>
      </c>
      <c r="H132" s="70">
        <f>1000*F132*'Parab Camarones'!$E$85</f>
        <v>12330.711767710247</v>
      </c>
      <c r="I132" s="832">
        <f t="shared" si="43"/>
        <v>22224.615837056299</v>
      </c>
      <c r="J132" s="837">
        <f>F132*'Parab Camarones'!$E$106</f>
        <v>10.851982258135466</v>
      </c>
      <c r="K132" s="845"/>
    </row>
    <row r="133" spans="4:11" x14ac:dyDescent="0.2">
      <c r="D133" s="410"/>
      <c r="E133" s="68" t="s">
        <v>72</v>
      </c>
      <c r="F133" s="358">
        <f>E94/$E$95</f>
        <v>0.49297701318187687</v>
      </c>
      <c r="G133" s="70">
        <f t="shared" si="42"/>
        <v>11212.95580471627</v>
      </c>
      <c r="H133" s="337">
        <f>1000*F133*'Parab Camarones'!$E$85</f>
        <v>19727.803118395765</v>
      </c>
      <c r="I133" s="832">
        <f t="shared" si="43"/>
        <v>35556.977883754706</v>
      </c>
      <c r="J133" s="837">
        <f>F133*'Parab Camarones'!$E$106</f>
        <v>17.361996084721966</v>
      </c>
      <c r="K133" s="845"/>
    </row>
    <row r="134" spans="4:11" ht="13.5" thickBot="1" x14ac:dyDescent="0.25">
      <c r="D134" s="415"/>
      <c r="E134" s="416" t="s">
        <v>345</v>
      </c>
      <c r="F134" s="809">
        <f>SUM(F130:F133)</f>
        <v>1</v>
      </c>
      <c r="G134" s="417">
        <f>1000*'Parab Camarones'!E80*'Parab Camarones'!E108</f>
        <v>22745.392797005341</v>
      </c>
      <c r="H134" s="417">
        <f>SUM(H130:H133)</f>
        <v>40017.693707591738</v>
      </c>
      <c r="I134" s="834">
        <f>1000*'Parab Camarones'!$E$108*'Parab Camarones'!E92</f>
        <v>72127.050416114362</v>
      </c>
      <c r="J134" s="839">
        <f>SUM(J130:J133)</f>
        <v>35.218672717943754</v>
      </c>
      <c r="K134" s="846"/>
    </row>
    <row r="135" spans="4:11" x14ac:dyDescent="0.2">
      <c r="F135" s="367" t="s">
        <v>587</v>
      </c>
      <c r="G135" s="74">
        <f t="shared" ref="G135" si="44">G137-G136</f>
        <v>2607.4576601542535</v>
      </c>
      <c r="H135" s="74">
        <f>H137-H136</f>
        <v>4587.4979135688855</v>
      </c>
      <c r="I135" s="74">
        <f>I137-I136</f>
        <v>8268.4098617365071</v>
      </c>
      <c r="J135" s="840">
        <f>J137-J136</f>
        <v>4.0373537963678778</v>
      </c>
      <c r="K135" s="847"/>
    </row>
    <row r="136" spans="4:11" x14ac:dyDescent="0.2">
      <c r="F136" s="367" t="s">
        <v>586</v>
      </c>
      <c r="G136" s="368">
        <f>(G108+G113+G118+G123+G128+G133)/($D$131*'Parab Camarones'!$E$108)</f>
        <v>2641.8818723142672</v>
      </c>
      <c r="H136" s="368">
        <f>(H108+H113+H118+H123+H128+H133)/($D$131*'Parab Camarones'!$E$108)</f>
        <v>4648.0630394666432</v>
      </c>
      <c r="I136" s="368">
        <f>(I108+I113+I118+I123+I128+I133)/($D$131*'Parab Camarones'!$E$108)</f>
        <v>8377.5711722559372</v>
      </c>
      <c r="J136" s="841">
        <f>(J108+J113+J118+J123+J128+J133)/($D$131*'Parab Camarones'!$E$108)</f>
        <v>4.0906558022930586</v>
      </c>
      <c r="K136" s="847"/>
    </row>
    <row r="137" spans="4:11" x14ac:dyDescent="0.2">
      <c r="E137" s="376"/>
      <c r="F137" s="532" t="s">
        <v>585</v>
      </c>
      <c r="G137" s="375">
        <f>(G109+G114+G119+G124+G129+G134)/($D$131*'Parab Camarones'!$E$108)</f>
        <v>5249.3395324685207</v>
      </c>
      <c r="H137" s="375">
        <f>(H109+H114+H119+H124+H129+H134)/($D$131*'Parab Camarones'!$E$108)</f>
        <v>9235.5609530355287</v>
      </c>
      <c r="I137" s="375">
        <f>(I109+I114+I119+I124+I129+I134)/($D$131*'Parab Camarones'!$E$108)</f>
        <v>16645.981033992444</v>
      </c>
      <c r="J137" s="842">
        <f>(J109+J114+J119+J124+J129+J134)/($D$131*'Parab Camarones'!$E$108)</f>
        <v>8.1280095986609364</v>
      </c>
      <c r="K137" s="846"/>
    </row>
  </sheetData>
  <mergeCells count="31">
    <mergeCell ref="K64:K65"/>
    <mergeCell ref="M41:M43"/>
    <mergeCell ref="M44:M46"/>
    <mergeCell ref="M47:M49"/>
    <mergeCell ref="M50:M52"/>
    <mergeCell ref="M53:M55"/>
    <mergeCell ref="M56:M58"/>
    <mergeCell ref="B2:D3"/>
    <mergeCell ref="B37:D38"/>
    <mergeCell ref="B8:B10"/>
    <mergeCell ref="B11:B13"/>
    <mergeCell ref="B14:B16"/>
    <mergeCell ref="B17:B19"/>
    <mergeCell ref="B20:B22"/>
    <mergeCell ref="B23:B25"/>
    <mergeCell ref="B26:C26"/>
    <mergeCell ref="M8:M10"/>
    <mergeCell ref="M11:M13"/>
    <mergeCell ref="M14:M16"/>
    <mergeCell ref="M17:M19"/>
    <mergeCell ref="M20:M22"/>
    <mergeCell ref="M23:M25"/>
    <mergeCell ref="M26:N26"/>
    <mergeCell ref="M59:N59"/>
    <mergeCell ref="B41:B43"/>
    <mergeCell ref="B44:B46"/>
    <mergeCell ref="B47:B49"/>
    <mergeCell ref="B50:B52"/>
    <mergeCell ref="B53:B55"/>
    <mergeCell ref="B56:B58"/>
    <mergeCell ref="B59:D59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4FA7-0FC6-4AB9-A315-5CD8DBFE8515}">
  <dimension ref="B3:J48"/>
  <sheetViews>
    <sheetView showGridLines="0" zoomScale="75" zoomScaleNormal="75" workbookViewId="0">
      <selection activeCell="M40" sqref="M40"/>
    </sheetView>
  </sheetViews>
  <sheetFormatPr baseColWidth="10" defaultRowHeight="12.75" x14ac:dyDescent="0.2"/>
  <cols>
    <col min="2" max="2" width="13.28515625" customWidth="1"/>
    <col min="3" max="3" width="13.42578125" customWidth="1"/>
    <col min="4" max="4" width="12.85546875" customWidth="1"/>
    <col min="5" max="5" width="13.85546875" style="34" customWidth="1"/>
    <col min="7" max="8" width="13" customWidth="1"/>
    <col min="9" max="9" width="13.28515625" customWidth="1"/>
  </cols>
  <sheetData>
    <row r="3" spans="2:10" ht="46.5" x14ac:dyDescent="0.2">
      <c r="B3" s="130" t="s">
        <v>186</v>
      </c>
      <c r="C3" s="130" t="s">
        <v>185</v>
      </c>
      <c r="D3" s="130" t="s">
        <v>184</v>
      </c>
      <c r="E3" s="130" t="s">
        <v>183</v>
      </c>
      <c r="F3" s="130" t="s">
        <v>188</v>
      </c>
      <c r="G3" s="895" t="s">
        <v>187</v>
      </c>
      <c r="H3" s="897"/>
      <c r="I3" s="896"/>
      <c r="J3" s="886"/>
    </row>
    <row r="4" spans="2:10" ht="12.75" customHeight="1" x14ac:dyDescent="0.2">
      <c r="B4" s="907" t="s">
        <v>177</v>
      </c>
      <c r="C4" s="907" t="s">
        <v>28</v>
      </c>
      <c r="D4" s="907" t="s">
        <v>524</v>
      </c>
      <c r="E4" s="907" t="s">
        <v>178</v>
      </c>
      <c r="F4" s="907" t="s">
        <v>38</v>
      </c>
      <c r="G4" s="895" t="s">
        <v>179</v>
      </c>
      <c r="H4" s="896"/>
      <c r="I4" s="896"/>
      <c r="J4" s="886"/>
    </row>
    <row r="5" spans="2:10" ht="14.25" x14ac:dyDescent="0.2">
      <c r="B5" s="908"/>
      <c r="C5" s="908"/>
      <c r="D5" s="908"/>
      <c r="E5" s="908"/>
      <c r="F5" s="908"/>
      <c r="G5" s="391">
        <v>0</v>
      </c>
      <c r="H5" s="391">
        <v>5</v>
      </c>
      <c r="I5" s="391">
        <v>10</v>
      </c>
      <c r="J5" s="391">
        <v>15</v>
      </c>
    </row>
    <row r="6" spans="2:10" x14ac:dyDescent="0.2">
      <c r="B6" s="131">
        <v>0</v>
      </c>
      <c r="C6" s="132">
        <v>999.82</v>
      </c>
      <c r="D6" s="133">
        <v>1.792E-3</v>
      </c>
      <c r="E6" s="134">
        <f>D6/C6</f>
        <v>1.7923226180712527E-6</v>
      </c>
      <c r="F6" s="132">
        <v>0.61099999999999999</v>
      </c>
      <c r="G6" s="132">
        <v>14.6</v>
      </c>
      <c r="H6" s="132">
        <v>14.11</v>
      </c>
      <c r="I6" s="132">
        <v>13.64</v>
      </c>
      <c r="J6" s="132">
        <v>13.18</v>
      </c>
    </row>
    <row r="7" spans="2:10" x14ac:dyDescent="0.2">
      <c r="B7" s="131">
        <f>B6+1</f>
        <v>1</v>
      </c>
      <c r="C7" s="132">
        <v>999.89</v>
      </c>
      <c r="D7" s="133">
        <v>1.7309999999999999E-3</v>
      </c>
      <c r="E7" s="134">
        <f t="shared" ref="E7:E46" si="0">D7/C7</f>
        <v>1.7311904309474041E-6</v>
      </c>
      <c r="F7" s="132">
        <v>0.65700000000000003</v>
      </c>
      <c r="G7" s="132">
        <v>14.2</v>
      </c>
      <c r="H7" s="132">
        <v>13.73</v>
      </c>
      <c r="I7" s="132">
        <v>13.27</v>
      </c>
      <c r="J7" s="132">
        <v>12.83</v>
      </c>
    </row>
    <row r="8" spans="2:10" x14ac:dyDescent="0.2">
      <c r="B8" s="131">
        <f t="shared" ref="B8:B46" si="1">B7+1</f>
        <v>2</v>
      </c>
      <c r="C8" s="132">
        <v>999.94</v>
      </c>
      <c r="D8" s="133">
        <v>1.6739999999999999E-3</v>
      </c>
      <c r="E8" s="134">
        <f t="shared" si="0"/>
        <v>1.6741004460267615E-6</v>
      </c>
      <c r="F8" s="132">
        <v>0.70499999999999996</v>
      </c>
      <c r="G8" s="132">
        <v>13.81</v>
      </c>
      <c r="H8" s="132">
        <v>13.36</v>
      </c>
      <c r="I8" s="132">
        <v>12.91</v>
      </c>
      <c r="J8" s="132">
        <v>12.49</v>
      </c>
    </row>
    <row r="9" spans="2:10" x14ac:dyDescent="0.2">
      <c r="B9" s="131">
        <f t="shared" si="1"/>
        <v>3</v>
      </c>
      <c r="C9" s="132">
        <v>999.98</v>
      </c>
      <c r="D9" s="133">
        <v>1.6199999999999999E-3</v>
      </c>
      <c r="E9" s="134">
        <f t="shared" si="0"/>
        <v>1.6200324006480128E-6</v>
      </c>
      <c r="F9" s="132">
        <v>0.75700000000000001</v>
      </c>
      <c r="G9" s="132">
        <v>13.45</v>
      </c>
      <c r="H9" s="132">
        <v>13</v>
      </c>
      <c r="I9" s="132">
        <v>12.58</v>
      </c>
      <c r="J9" s="132">
        <v>12.16</v>
      </c>
    </row>
    <row r="10" spans="2:10" x14ac:dyDescent="0.2">
      <c r="B10" s="131">
        <f t="shared" si="1"/>
        <v>4</v>
      </c>
      <c r="C10" s="132">
        <v>1000</v>
      </c>
      <c r="D10" s="133">
        <v>1.5690000000000001E-3</v>
      </c>
      <c r="E10" s="134">
        <f t="shared" si="0"/>
        <v>1.5690000000000001E-6</v>
      </c>
      <c r="F10" s="132">
        <v>0.81299999999999994</v>
      </c>
      <c r="G10" s="132">
        <v>13.09</v>
      </c>
      <c r="H10" s="132">
        <v>12.67</v>
      </c>
      <c r="I10" s="132">
        <v>12.25</v>
      </c>
      <c r="J10" s="132">
        <v>11.85</v>
      </c>
    </row>
    <row r="11" spans="2:10" x14ac:dyDescent="0.2">
      <c r="B11" s="131">
        <f t="shared" si="1"/>
        <v>5</v>
      </c>
      <c r="C11" s="132">
        <v>1000</v>
      </c>
      <c r="D11" s="133">
        <v>1.5200000000000001E-3</v>
      </c>
      <c r="E11" s="134">
        <f t="shared" si="0"/>
        <v>1.5200000000000001E-6</v>
      </c>
      <c r="F11" s="132">
        <v>0.872</v>
      </c>
      <c r="G11" s="132">
        <v>12.76</v>
      </c>
      <c r="H11" s="132">
        <v>12.34</v>
      </c>
      <c r="I11" s="132">
        <v>11.94</v>
      </c>
      <c r="J11" s="132">
        <v>11.56</v>
      </c>
    </row>
    <row r="12" spans="2:10" x14ac:dyDescent="0.2">
      <c r="B12" s="131">
        <f t="shared" si="1"/>
        <v>6</v>
      </c>
      <c r="C12" s="132">
        <v>999.99</v>
      </c>
      <c r="D12" s="133">
        <v>1.4729999999999999E-3</v>
      </c>
      <c r="E12" s="134">
        <f t="shared" si="0"/>
        <v>1.4730147301473013E-6</v>
      </c>
      <c r="F12" s="132">
        <v>0.93500000000000005</v>
      </c>
      <c r="G12" s="132">
        <v>12.44</v>
      </c>
      <c r="H12" s="132">
        <v>12.04</v>
      </c>
      <c r="I12" s="132">
        <v>11.65</v>
      </c>
      <c r="J12" s="132">
        <v>11.27</v>
      </c>
    </row>
    <row r="13" spans="2:10" x14ac:dyDescent="0.2">
      <c r="B13" s="131">
        <f t="shared" si="1"/>
        <v>7</v>
      </c>
      <c r="C13" s="132">
        <v>999.96</v>
      </c>
      <c r="D13" s="133">
        <v>1.4289999999999999E-3</v>
      </c>
      <c r="E13" s="134">
        <f t="shared" si="0"/>
        <v>1.4290571622864914E-6</v>
      </c>
      <c r="F13" s="132">
        <v>1.0009999999999999</v>
      </c>
      <c r="G13" s="132">
        <v>12.13</v>
      </c>
      <c r="H13" s="132">
        <v>11.74</v>
      </c>
      <c r="I13" s="132">
        <v>11.37</v>
      </c>
      <c r="J13" s="132">
        <v>11</v>
      </c>
    </row>
    <row r="14" spans="2:10" x14ac:dyDescent="0.2">
      <c r="B14" s="131">
        <f t="shared" si="1"/>
        <v>8</v>
      </c>
      <c r="C14" s="132">
        <v>999.91</v>
      </c>
      <c r="D14" s="133">
        <v>1.3860000000000001E-3</v>
      </c>
      <c r="E14" s="134">
        <f t="shared" si="0"/>
        <v>1.3861247512276105E-6</v>
      </c>
      <c r="F14" s="132">
        <v>1.0720000000000001</v>
      </c>
      <c r="G14" s="132">
        <v>11.83</v>
      </c>
      <c r="H14" s="132">
        <v>11.46</v>
      </c>
      <c r="I14" s="132">
        <v>11.09</v>
      </c>
      <c r="J14" s="132">
        <v>10.74</v>
      </c>
    </row>
    <row r="15" spans="2:10" x14ac:dyDescent="0.2">
      <c r="B15" s="131">
        <f t="shared" si="1"/>
        <v>9</v>
      </c>
      <c r="C15" s="132">
        <v>999.85</v>
      </c>
      <c r="D15" s="133">
        <v>1.346E-3</v>
      </c>
      <c r="E15" s="134">
        <f t="shared" si="0"/>
        <v>1.3462019302895433E-6</v>
      </c>
      <c r="F15" s="132">
        <v>1.147</v>
      </c>
      <c r="G15" s="132">
        <v>11.55</v>
      </c>
      <c r="H15" s="132">
        <v>11.19</v>
      </c>
      <c r="I15" s="132">
        <v>10.83</v>
      </c>
      <c r="J15" s="132">
        <v>10.49</v>
      </c>
    </row>
    <row r="16" spans="2:10" x14ac:dyDescent="0.2">
      <c r="B16" s="131">
        <f t="shared" si="1"/>
        <v>10</v>
      </c>
      <c r="C16" s="132">
        <v>999.77</v>
      </c>
      <c r="D16" s="133">
        <v>1.3079999999999999E-3</v>
      </c>
      <c r="E16" s="134">
        <f t="shared" si="0"/>
        <v>1.3083009092091181E-6</v>
      </c>
      <c r="F16" s="132">
        <v>1.2270000000000001</v>
      </c>
      <c r="G16" s="132">
        <v>11.28</v>
      </c>
      <c r="H16" s="132">
        <v>10.92</v>
      </c>
      <c r="I16" s="132">
        <v>10.58</v>
      </c>
      <c r="J16" s="132">
        <v>10.25</v>
      </c>
    </row>
    <row r="17" spans="2:10" x14ac:dyDescent="0.2">
      <c r="B17" s="131">
        <f t="shared" si="1"/>
        <v>11</v>
      </c>
      <c r="C17" s="132">
        <v>999.68</v>
      </c>
      <c r="D17" s="133">
        <v>1.271E-3</v>
      </c>
      <c r="E17" s="134">
        <f t="shared" si="0"/>
        <v>1.2714068501920614E-6</v>
      </c>
      <c r="F17" s="132">
        <v>1.3120000000000001</v>
      </c>
      <c r="G17" s="132">
        <v>11.02</v>
      </c>
      <c r="H17" s="132">
        <v>10.67</v>
      </c>
      <c r="I17" s="132">
        <v>10.34</v>
      </c>
      <c r="J17" s="132">
        <v>10.02</v>
      </c>
    </row>
    <row r="18" spans="2:10" x14ac:dyDescent="0.2">
      <c r="B18" s="131">
        <f t="shared" si="1"/>
        <v>12</v>
      </c>
      <c r="C18" s="132">
        <v>999.58</v>
      </c>
      <c r="D18" s="133">
        <v>1.2359999999999999E-3</v>
      </c>
      <c r="E18" s="134">
        <f t="shared" si="0"/>
        <v>1.2365193381220111E-6</v>
      </c>
      <c r="F18" s="132">
        <v>1.4019999999999999</v>
      </c>
      <c r="G18" s="132">
        <v>10.77</v>
      </c>
      <c r="H18" s="132">
        <v>10.43</v>
      </c>
      <c r="I18" s="132">
        <v>10.11</v>
      </c>
      <c r="J18" s="132">
        <v>9.8000000000000007</v>
      </c>
    </row>
    <row r="19" spans="2:10" x14ac:dyDescent="0.2">
      <c r="B19" s="131">
        <f t="shared" si="1"/>
        <v>13</v>
      </c>
      <c r="C19" s="132">
        <v>999.46</v>
      </c>
      <c r="D19" s="133">
        <v>1.2019999999999999E-3</v>
      </c>
      <c r="E19" s="134">
        <f t="shared" si="0"/>
        <v>1.2026494306925738E-6</v>
      </c>
      <c r="F19" s="132">
        <v>1.4970000000000001</v>
      </c>
      <c r="G19" s="132">
        <v>10.53</v>
      </c>
      <c r="H19" s="132">
        <v>10.199999999999999</v>
      </c>
      <c r="I19" s="132">
        <v>9.89</v>
      </c>
      <c r="J19" s="132">
        <v>9.59</v>
      </c>
    </row>
    <row r="20" spans="2:10" x14ac:dyDescent="0.2">
      <c r="B20" s="131">
        <f t="shared" si="1"/>
        <v>14</v>
      </c>
      <c r="C20" s="132">
        <v>999.33</v>
      </c>
      <c r="D20" s="133">
        <v>1.17E-3</v>
      </c>
      <c r="E20" s="134">
        <f t="shared" si="0"/>
        <v>1.1707844255651285E-6</v>
      </c>
      <c r="F20" s="132">
        <v>1.597</v>
      </c>
      <c r="G20" s="132">
        <v>10.29</v>
      </c>
      <c r="H20" s="132">
        <v>9.98</v>
      </c>
      <c r="I20" s="132">
        <v>9.68</v>
      </c>
      <c r="J20" s="132">
        <v>9.3800000000000008</v>
      </c>
    </row>
    <row r="21" spans="2:10" x14ac:dyDescent="0.2">
      <c r="B21" s="131">
        <f t="shared" si="1"/>
        <v>15</v>
      </c>
      <c r="C21" s="132">
        <v>999.19</v>
      </c>
      <c r="D21" s="133">
        <v>1.139E-3</v>
      </c>
      <c r="E21" s="134">
        <f t="shared" si="0"/>
        <v>1.1399233379037019E-6</v>
      </c>
      <c r="F21" s="132">
        <v>1.704</v>
      </c>
      <c r="G21" s="132">
        <v>10.07</v>
      </c>
      <c r="H21" s="132">
        <v>9.77</v>
      </c>
      <c r="I21" s="132">
        <v>9.4700000000000006</v>
      </c>
      <c r="J21" s="132">
        <v>9.19</v>
      </c>
    </row>
    <row r="22" spans="2:10" x14ac:dyDescent="0.2">
      <c r="B22" s="131">
        <f t="shared" si="1"/>
        <v>16</v>
      </c>
      <c r="C22" s="132">
        <v>999.03</v>
      </c>
      <c r="D22" s="133">
        <v>1.109E-3</v>
      </c>
      <c r="E22" s="134">
        <f t="shared" si="0"/>
        <v>1.110076774471237E-6</v>
      </c>
      <c r="F22" s="132">
        <v>1.8169999999999999</v>
      </c>
      <c r="G22" s="132">
        <v>9.86</v>
      </c>
      <c r="H22" s="132">
        <v>9.56</v>
      </c>
      <c r="I22" s="132">
        <v>9.2799999999999994</v>
      </c>
      <c r="J22" s="132">
        <v>9</v>
      </c>
    </row>
    <row r="23" spans="2:10" x14ac:dyDescent="0.2">
      <c r="B23" s="131">
        <f t="shared" si="1"/>
        <v>17</v>
      </c>
      <c r="C23" s="132">
        <v>998.86</v>
      </c>
      <c r="D23" s="133">
        <v>1.0809999999999999E-3</v>
      </c>
      <c r="E23" s="134">
        <f t="shared" si="0"/>
        <v>1.0822337464709768E-6</v>
      </c>
      <c r="F23" s="132">
        <v>1.9359999999999999</v>
      </c>
      <c r="G23" s="132">
        <v>9.65</v>
      </c>
      <c r="H23" s="132">
        <v>9.36</v>
      </c>
      <c r="I23" s="132">
        <v>9.09</v>
      </c>
      <c r="J23" s="132">
        <v>8.82</v>
      </c>
    </row>
    <row r="24" spans="2:10" x14ac:dyDescent="0.2">
      <c r="B24" s="131">
        <f t="shared" si="1"/>
        <v>18</v>
      </c>
      <c r="C24" s="132">
        <v>998.68</v>
      </c>
      <c r="D24" s="133">
        <v>1.054E-3</v>
      </c>
      <c r="E24" s="134">
        <f t="shared" si="0"/>
        <v>1.0553931189169705E-6</v>
      </c>
      <c r="F24" s="132">
        <v>2.0630000000000002</v>
      </c>
      <c r="G24" s="132">
        <v>9.4499999999999993</v>
      </c>
      <c r="H24" s="132">
        <v>9.17</v>
      </c>
      <c r="I24" s="132">
        <v>8.9</v>
      </c>
      <c r="J24" s="132">
        <v>8.64</v>
      </c>
    </row>
    <row r="25" spans="2:10" x14ac:dyDescent="0.2">
      <c r="B25" s="131">
        <f t="shared" si="1"/>
        <v>19</v>
      </c>
      <c r="C25" s="132">
        <v>998.49</v>
      </c>
      <c r="D25" s="133">
        <v>1.0280000000000001E-3</v>
      </c>
      <c r="E25" s="134">
        <f t="shared" si="0"/>
        <v>1.0295546274875061E-6</v>
      </c>
      <c r="F25" s="132">
        <v>2.1960000000000002</v>
      </c>
      <c r="G25" s="132">
        <v>9.26</v>
      </c>
      <c r="H25" s="132">
        <v>8.99</v>
      </c>
      <c r="I25" s="132">
        <v>8.73</v>
      </c>
      <c r="J25" s="132">
        <v>8.4700000000000006</v>
      </c>
    </row>
    <row r="26" spans="2:10" x14ac:dyDescent="0.2">
      <c r="B26" s="131">
        <f t="shared" si="1"/>
        <v>20</v>
      </c>
      <c r="C26" s="132">
        <v>998.29</v>
      </c>
      <c r="D26" s="133">
        <v>1.003E-3</v>
      </c>
      <c r="E26" s="134">
        <f t="shared" si="0"/>
        <v>1.0047180678961023E-6</v>
      </c>
      <c r="F26" s="132">
        <v>2.3370000000000002</v>
      </c>
      <c r="G26" s="132">
        <v>9.08</v>
      </c>
      <c r="H26" s="132">
        <v>8.81</v>
      </c>
      <c r="I26" s="132">
        <v>8.56</v>
      </c>
      <c r="J26" s="132">
        <v>8.31</v>
      </c>
    </row>
    <row r="27" spans="2:10" x14ac:dyDescent="0.2">
      <c r="B27" s="131">
        <f t="shared" si="1"/>
        <v>21</v>
      </c>
      <c r="C27" s="132">
        <v>998.08</v>
      </c>
      <c r="D27" s="133">
        <v>9.7900000000000005E-4</v>
      </c>
      <c r="E27" s="134">
        <f t="shared" si="0"/>
        <v>9.8088329592818217E-7</v>
      </c>
      <c r="F27" s="132">
        <v>2.4860000000000002</v>
      </c>
      <c r="G27" s="132">
        <v>8.9</v>
      </c>
      <c r="H27" s="132">
        <v>8.64</v>
      </c>
      <c r="I27" s="132">
        <v>8.39</v>
      </c>
      <c r="J27" s="132">
        <v>8.15</v>
      </c>
    </row>
    <row r="28" spans="2:10" x14ac:dyDescent="0.2">
      <c r="B28" s="131">
        <f t="shared" si="1"/>
        <v>22</v>
      </c>
      <c r="C28" s="132">
        <v>997.86</v>
      </c>
      <c r="D28" s="133">
        <v>9.5500000000000001E-4</v>
      </c>
      <c r="E28" s="134">
        <f t="shared" si="0"/>
        <v>9.5704808289740053E-7</v>
      </c>
      <c r="F28" s="132">
        <v>2.6419999999999999</v>
      </c>
      <c r="G28" s="132">
        <v>8.73</v>
      </c>
      <c r="H28" s="132">
        <v>8.48</v>
      </c>
      <c r="I28" s="132">
        <v>8.23</v>
      </c>
      <c r="J28" s="132">
        <v>8</v>
      </c>
    </row>
    <row r="29" spans="2:10" x14ac:dyDescent="0.2">
      <c r="B29" s="131">
        <f t="shared" si="1"/>
        <v>23</v>
      </c>
      <c r="C29" s="132">
        <v>997.62</v>
      </c>
      <c r="D29" s="133">
        <v>9.3300000000000002E-4</v>
      </c>
      <c r="E29" s="134">
        <f t="shared" si="0"/>
        <v>9.3522583749323393E-7</v>
      </c>
      <c r="F29" s="132">
        <v>2.8079999999999998</v>
      </c>
      <c r="G29" s="132">
        <v>8.56</v>
      </c>
      <c r="H29" s="132">
        <v>8.32</v>
      </c>
      <c r="I29" s="132">
        <v>8.08</v>
      </c>
      <c r="J29" s="132">
        <v>7.85</v>
      </c>
    </row>
    <row r="30" spans="2:10" x14ac:dyDescent="0.2">
      <c r="B30" s="131">
        <f t="shared" si="1"/>
        <v>24</v>
      </c>
      <c r="C30" s="132">
        <v>997.38</v>
      </c>
      <c r="D30" s="133">
        <v>9.1100000000000003E-4</v>
      </c>
      <c r="E30" s="134">
        <f t="shared" si="0"/>
        <v>9.1339308989552636E-7</v>
      </c>
      <c r="F30" s="132">
        <v>2.9820000000000002</v>
      </c>
      <c r="G30" s="132">
        <v>8.4</v>
      </c>
      <c r="H30" s="132">
        <v>8.16</v>
      </c>
      <c r="I30" s="132">
        <v>7.93</v>
      </c>
      <c r="J30" s="132">
        <v>7.71</v>
      </c>
    </row>
    <row r="31" spans="2:10" x14ac:dyDescent="0.2">
      <c r="B31" s="131">
        <f t="shared" si="1"/>
        <v>25</v>
      </c>
      <c r="C31" s="132">
        <v>997.13</v>
      </c>
      <c r="D31" s="133">
        <v>8.9099999999999997E-4</v>
      </c>
      <c r="E31" s="134">
        <f t="shared" si="0"/>
        <v>8.9356453020167885E-7</v>
      </c>
      <c r="F31" s="132">
        <v>3.1659999999999999</v>
      </c>
      <c r="G31" s="132">
        <v>8.24</v>
      </c>
      <c r="H31" s="132">
        <v>8.01</v>
      </c>
      <c r="I31" s="132">
        <v>7.79</v>
      </c>
      <c r="J31" s="132">
        <v>7.57</v>
      </c>
    </row>
    <row r="32" spans="2:10" x14ac:dyDescent="0.2">
      <c r="B32" s="131">
        <f t="shared" si="1"/>
        <v>26</v>
      </c>
      <c r="C32" s="132">
        <v>996.86</v>
      </c>
      <c r="D32" s="133">
        <v>8.7100000000000003E-4</v>
      </c>
      <c r="E32" s="134">
        <f t="shared" si="0"/>
        <v>8.7374355476195253E-7</v>
      </c>
      <c r="F32" s="132">
        <v>3.36</v>
      </c>
      <c r="G32" s="132">
        <v>8.09</v>
      </c>
      <c r="H32" s="132">
        <v>7.87</v>
      </c>
      <c r="I32" s="132">
        <v>7.65</v>
      </c>
      <c r="J32" s="132">
        <v>7.44</v>
      </c>
    </row>
    <row r="33" spans="2:10" x14ac:dyDescent="0.2">
      <c r="B33" s="131">
        <f t="shared" si="1"/>
        <v>27</v>
      </c>
      <c r="C33" s="132">
        <v>996.59</v>
      </c>
      <c r="D33" s="133">
        <v>8.52E-4</v>
      </c>
      <c r="E33" s="134">
        <f t="shared" si="0"/>
        <v>8.5491526104014687E-7</v>
      </c>
      <c r="F33" s="132">
        <v>3.5640000000000001</v>
      </c>
      <c r="G33" s="132">
        <v>7.95</v>
      </c>
      <c r="H33" s="132">
        <v>7.73</v>
      </c>
      <c r="I33" s="132">
        <v>7.51</v>
      </c>
      <c r="J33" s="132">
        <v>7.31</v>
      </c>
    </row>
    <row r="34" spans="2:10" x14ac:dyDescent="0.2">
      <c r="B34" s="131">
        <f t="shared" si="1"/>
        <v>28</v>
      </c>
      <c r="C34" s="132">
        <v>996.31</v>
      </c>
      <c r="D34" s="133">
        <v>8.3299999999999997E-4</v>
      </c>
      <c r="E34" s="134">
        <f t="shared" si="0"/>
        <v>8.3608515421906841E-7</v>
      </c>
      <c r="F34" s="132">
        <v>3.7789999999999999</v>
      </c>
      <c r="G34" s="132">
        <v>7.81</v>
      </c>
      <c r="H34" s="132">
        <v>7.59</v>
      </c>
      <c r="I34" s="132">
        <v>7.38</v>
      </c>
      <c r="J34" s="132">
        <v>7.18</v>
      </c>
    </row>
    <row r="35" spans="2:10" x14ac:dyDescent="0.2">
      <c r="B35" s="131">
        <f t="shared" si="1"/>
        <v>29</v>
      </c>
      <c r="C35" s="132">
        <v>996.02</v>
      </c>
      <c r="D35" s="133">
        <v>8.1499999999999997E-4</v>
      </c>
      <c r="E35" s="134">
        <f t="shared" si="0"/>
        <v>8.1825666151282104E-7</v>
      </c>
      <c r="F35" s="132">
        <v>4.0039999999999996</v>
      </c>
      <c r="G35" s="132">
        <v>7.67</v>
      </c>
      <c r="H35" s="132">
        <v>7.46</v>
      </c>
      <c r="I35" s="132">
        <v>7.26</v>
      </c>
      <c r="J35" s="132">
        <v>7.06</v>
      </c>
    </row>
    <row r="36" spans="2:10" x14ac:dyDescent="0.2">
      <c r="B36" s="131">
        <f t="shared" si="1"/>
        <v>30</v>
      </c>
      <c r="C36" s="132">
        <v>995.71</v>
      </c>
      <c r="D36" s="133">
        <v>7.9799999999999999E-4</v>
      </c>
      <c r="E36" s="134">
        <f t="shared" si="0"/>
        <v>8.0143816974821981E-7</v>
      </c>
      <c r="F36" s="132">
        <v>4.242</v>
      </c>
      <c r="G36" s="132">
        <v>7.54</v>
      </c>
      <c r="H36" s="132">
        <v>7.33</v>
      </c>
      <c r="I36" s="132">
        <v>7.14</v>
      </c>
      <c r="J36" s="132">
        <v>6.94</v>
      </c>
    </row>
    <row r="37" spans="2:10" x14ac:dyDescent="0.2">
      <c r="B37" s="131">
        <f t="shared" si="1"/>
        <v>31</v>
      </c>
      <c r="C37" s="132">
        <v>995.41</v>
      </c>
      <c r="D37" s="133">
        <v>7.8100000000000001E-4</v>
      </c>
      <c r="E37" s="134">
        <f t="shared" si="0"/>
        <v>7.8460132005907112E-7</v>
      </c>
      <c r="F37" s="132">
        <v>4.4909999999999997</v>
      </c>
      <c r="G37" s="132">
        <v>7.41</v>
      </c>
      <c r="H37" s="132">
        <v>7.21</v>
      </c>
      <c r="I37" s="132">
        <v>7.02</v>
      </c>
      <c r="J37" s="132">
        <v>6.83</v>
      </c>
    </row>
    <row r="38" spans="2:10" x14ac:dyDescent="0.2">
      <c r="B38" s="131">
        <f t="shared" si="1"/>
        <v>32</v>
      </c>
      <c r="C38" s="132">
        <v>995.09</v>
      </c>
      <c r="D38" s="133">
        <v>7.6499999999999995E-4</v>
      </c>
      <c r="E38" s="134">
        <f t="shared" si="0"/>
        <v>7.6877468369695196E-7</v>
      </c>
      <c r="F38" s="132">
        <v>4.7539999999999996</v>
      </c>
      <c r="G38" s="132">
        <v>7.29</v>
      </c>
      <c r="H38" s="132">
        <v>7.09</v>
      </c>
      <c r="I38" s="132">
        <v>6.9</v>
      </c>
      <c r="J38" s="132">
        <v>6.72</v>
      </c>
    </row>
    <row r="39" spans="2:10" x14ac:dyDescent="0.2">
      <c r="B39" s="131">
        <f t="shared" si="1"/>
        <v>33</v>
      </c>
      <c r="C39" s="132">
        <v>994.76</v>
      </c>
      <c r="D39" s="133">
        <v>7.4899999999999999E-4</v>
      </c>
      <c r="E39" s="134">
        <f t="shared" si="0"/>
        <v>7.5294543407455063E-7</v>
      </c>
      <c r="F39" s="132">
        <v>5.0289999999999999</v>
      </c>
      <c r="G39" s="132">
        <v>7.17</v>
      </c>
      <c r="H39" s="132">
        <v>6.98</v>
      </c>
      <c r="I39" s="132">
        <v>6.79</v>
      </c>
      <c r="J39" s="132">
        <v>6.61</v>
      </c>
    </row>
    <row r="40" spans="2:10" x14ac:dyDescent="0.2">
      <c r="B40" s="131">
        <f t="shared" si="1"/>
        <v>34</v>
      </c>
      <c r="C40" s="132">
        <v>994.43</v>
      </c>
      <c r="D40" s="133">
        <v>7.3399999999999995E-4</v>
      </c>
      <c r="E40" s="134">
        <f t="shared" si="0"/>
        <v>7.3811127982864557E-7</v>
      </c>
      <c r="F40" s="132">
        <v>5.3179999999999996</v>
      </c>
      <c r="G40" s="132">
        <v>7.05</v>
      </c>
      <c r="H40" s="132">
        <v>6.86</v>
      </c>
      <c r="I40" s="132">
        <v>6.68</v>
      </c>
      <c r="J40" s="132">
        <v>6.51</v>
      </c>
    </row>
    <row r="41" spans="2:10" x14ac:dyDescent="0.2">
      <c r="B41" s="131">
        <f t="shared" si="1"/>
        <v>35</v>
      </c>
      <c r="C41" s="132">
        <v>994.08</v>
      </c>
      <c r="D41" s="133">
        <v>7.2000000000000005E-4</v>
      </c>
      <c r="E41" s="134">
        <f t="shared" si="0"/>
        <v>7.2428778367938198E-7</v>
      </c>
      <c r="F41" s="132">
        <v>5.6219999999999999</v>
      </c>
      <c r="G41" s="132">
        <v>6.93</v>
      </c>
      <c r="H41" s="132">
        <v>6.75</v>
      </c>
      <c r="I41" s="132">
        <v>6.58</v>
      </c>
      <c r="J41" s="132">
        <v>6.4</v>
      </c>
    </row>
    <row r="42" spans="2:10" x14ac:dyDescent="0.2">
      <c r="B42" s="131">
        <f t="shared" si="1"/>
        <v>36</v>
      </c>
      <c r="C42" s="132">
        <v>993.73</v>
      </c>
      <c r="D42" s="133">
        <v>7.0500000000000001E-4</v>
      </c>
      <c r="E42" s="134">
        <f t="shared" si="0"/>
        <v>7.0944824046773266E-7</v>
      </c>
      <c r="F42" s="132">
        <v>5.94</v>
      </c>
      <c r="G42" s="132">
        <v>6.82</v>
      </c>
      <c r="H42" s="132">
        <v>6.65</v>
      </c>
      <c r="I42" s="132">
        <v>6.47</v>
      </c>
      <c r="J42" s="132">
        <v>6.31</v>
      </c>
    </row>
    <row r="43" spans="2:10" x14ac:dyDescent="0.2">
      <c r="B43" s="131">
        <f t="shared" si="1"/>
        <v>37</v>
      </c>
      <c r="C43" s="132">
        <v>993.37</v>
      </c>
      <c r="D43" s="133">
        <v>6.9200000000000002E-4</v>
      </c>
      <c r="E43" s="134">
        <f t="shared" si="0"/>
        <v>6.9661858119331165E-7</v>
      </c>
      <c r="F43" s="132">
        <v>6.274</v>
      </c>
      <c r="G43" s="132">
        <v>6.72</v>
      </c>
      <c r="H43" s="132">
        <v>6.54</v>
      </c>
      <c r="I43" s="132">
        <v>6.37</v>
      </c>
      <c r="J43" s="132">
        <v>6.21</v>
      </c>
    </row>
    <row r="44" spans="2:10" x14ac:dyDescent="0.2">
      <c r="B44" s="131">
        <f t="shared" si="1"/>
        <v>38</v>
      </c>
      <c r="C44" s="132">
        <v>993</v>
      </c>
      <c r="D44" s="133">
        <v>6.78E-4</v>
      </c>
      <c r="E44" s="134">
        <f t="shared" si="0"/>
        <v>6.8277945619335344E-7</v>
      </c>
      <c r="F44" s="132">
        <v>6.6239999999999997</v>
      </c>
      <c r="G44" s="132">
        <v>6.61</v>
      </c>
      <c r="H44" s="132">
        <v>6.44</v>
      </c>
      <c r="I44" s="132">
        <v>6.28</v>
      </c>
      <c r="J44" s="132">
        <v>6.12</v>
      </c>
    </row>
    <row r="45" spans="2:10" x14ac:dyDescent="0.2">
      <c r="B45" s="131">
        <f t="shared" si="1"/>
        <v>39</v>
      </c>
      <c r="C45" s="132">
        <v>992.63</v>
      </c>
      <c r="D45" s="133">
        <v>6.6600000000000003E-4</v>
      </c>
      <c r="E45" s="134">
        <f t="shared" si="0"/>
        <v>6.709448636450642E-7</v>
      </c>
      <c r="F45" s="132">
        <v>6.9909999999999997</v>
      </c>
      <c r="G45" s="132">
        <v>6.51</v>
      </c>
      <c r="H45" s="132">
        <v>6.34</v>
      </c>
      <c r="I45" s="132">
        <v>6.18</v>
      </c>
      <c r="J45" s="132">
        <v>6.03</v>
      </c>
    </row>
    <row r="46" spans="2:10" x14ac:dyDescent="0.2">
      <c r="B46" s="131">
        <f t="shared" si="1"/>
        <v>40</v>
      </c>
      <c r="C46" s="132">
        <v>992.25</v>
      </c>
      <c r="D46" s="133">
        <v>6.5300000000000004E-4</v>
      </c>
      <c r="E46" s="134">
        <f t="shared" si="0"/>
        <v>6.5810027714789624E-7</v>
      </c>
      <c r="F46" s="132">
        <v>7.375</v>
      </c>
      <c r="G46" s="132">
        <v>6.41</v>
      </c>
      <c r="H46" s="132">
        <v>6.25</v>
      </c>
      <c r="I46" s="132">
        <v>6.09</v>
      </c>
      <c r="J46" s="132">
        <v>5.94</v>
      </c>
    </row>
    <row r="47" spans="2:10" x14ac:dyDescent="0.2">
      <c r="B47" s="904" t="s">
        <v>180</v>
      </c>
      <c r="C47" s="905"/>
      <c r="D47" s="905"/>
      <c r="E47" s="905"/>
      <c r="F47" s="906"/>
      <c r="G47" s="898" t="s">
        <v>181</v>
      </c>
      <c r="H47" s="899"/>
      <c r="I47" s="899"/>
      <c r="J47" s="900"/>
    </row>
    <row r="48" spans="2:10" x14ac:dyDescent="0.2">
      <c r="B48" s="135" t="s">
        <v>182</v>
      </c>
      <c r="C48" s="45"/>
      <c r="D48" s="45"/>
      <c r="E48" s="136"/>
      <c r="F48" s="137"/>
      <c r="G48" s="901"/>
      <c r="H48" s="902"/>
      <c r="I48" s="902"/>
      <c r="J48" s="903"/>
    </row>
  </sheetData>
  <mergeCells count="9">
    <mergeCell ref="G4:J4"/>
    <mergeCell ref="G3:J3"/>
    <mergeCell ref="G47:J48"/>
    <mergeCell ref="B47:F47"/>
    <mergeCell ref="B4:B5"/>
    <mergeCell ref="C4:C5"/>
    <mergeCell ref="D4:D5"/>
    <mergeCell ref="E4:E5"/>
    <mergeCell ref="F4:F5"/>
  </mergeCells>
  <hyperlinks>
    <hyperlink ref="B48" r:id="rId1" xr:uid="{41CBB91A-BBFA-48C6-9AC2-C07AFEFECA7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D8D9-80C7-49B8-82C9-60246ACA8B03}">
  <dimension ref="A1:L55"/>
  <sheetViews>
    <sheetView showGridLines="0" zoomScale="75" zoomScaleNormal="75" workbookViewId="0">
      <selection activeCell="J46" sqref="J46"/>
    </sheetView>
  </sheetViews>
  <sheetFormatPr baseColWidth="10" defaultRowHeight="14.25" x14ac:dyDescent="0.2"/>
  <cols>
    <col min="1" max="1" width="31.7109375" customWidth="1"/>
    <col min="2" max="2" width="40.7109375" customWidth="1"/>
    <col min="3" max="3" width="15" customWidth="1"/>
    <col min="4" max="4" width="17.140625" customWidth="1"/>
    <col min="5" max="5" width="9.85546875" customWidth="1"/>
    <col min="6" max="6" width="5.28515625" customWidth="1"/>
    <col min="7" max="7" width="11.42578125" style="63"/>
    <col min="8" max="8" width="14.140625" customWidth="1"/>
    <col min="9" max="9" width="14.85546875" customWidth="1"/>
    <col min="10" max="10" width="7.28515625" customWidth="1"/>
    <col min="11" max="11" width="15" customWidth="1"/>
  </cols>
  <sheetData>
    <row r="1" spans="1:8" ht="30" x14ac:dyDescent="0.2">
      <c r="A1" s="602" t="s">
        <v>105</v>
      </c>
      <c r="G1" s="758" t="s">
        <v>197</v>
      </c>
      <c r="H1" s="308" t="s">
        <v>198</v>
      </c>
    </row>
    <row r="2" spans="1:8" ht="15.75" x14ac:dyDescent="0.25">
      <c r="A2" s="603"/>
      <c r="B2" s="604"/>
      <c r="C2" s="605" t="s">
        <v>237</v>
      </c>
      <c r="D2" s="30"/>
      <c r="E2" s="30"/>
      <c r="F2" s="30"/>
      <c r="G2" s="606"/>
      <c r="H2" s="571"/>
    </row>
    <row r="3" spans="1:8" ht="15" x14ac:dyDescent="0.25">
      <c r="A3" s="603"/>
      <c r="B3" s="607" t="s">
        <v>199</v>
      </c>
      <c r="C3" s="608"/>
      <c r="D3" s="609"/>
      <c r="E3" s="610">
        <f>E4+E14+E25+E35+E45</f>
        <v>0.97838279013284224</v>
      </c>
      <c r="F3" s="611" t="s">
        <v>2</v>
      </c>
      <c r="G3" s="612">
        <f>G4+G14+G25+G35+G45</f>
        <v>0.97838279013284224</v>
      </c>
      <c r="H3" s="571">
        <f t="shared" ref="H3:H11" si="0">G3-E3</f>
        <v>0</v>
      </c>
    </row>
    <row r="4" spans="1:8" ht="15.75" x14ac:dyDescent="0.25">
      <c r="A4" s="146"/>
      <c r="B4" s="613" t="s">
        <v>200</v>
      </c>
      <c r="C4" s="614" t="s">
        <v>201</v>
      </c>
      <c r="D4" s="615"/>
      <c r="E4" s="616">
        <f>E11+E13</f>
        <v>3.9327670700719741E-2</v>
      </c>
      <c r="F4" s="617" t="s">
        <v>2</v>
      </c>
      <c r="G4" s="612">
        <f>G11+G13</f>
        <v>3.9327670700719741E-2</v>
      </c>
      <c r="H4" s="571">
        <f t="shared" si="0"/>
        <v>0</v>
      </c>
    </row>
    <row r="5" spans="1:8" ht="15" customHeight="1" x14ac:dyDescent="0.35">
      <c r="A5" s="146"/>
      <c r="B5" s="50" t="s">
        <v>202</v>
      </c>
      <c r="C5" s="11" t="s">
        <v>203</v>
      </c>
      <c r="D5" s="11" t="s">
        <v>204</v>
      </c>
      <c r="E5" s="47">
        <v>150</v>
      </c>
      <c r="F5" s="618"/>
      <c r="G5" s="755">
        <v>150</v>
      </c>
      <c r="H5" s="571">
        <f t="shared" si="0"/>
        <v>0</v>
      </c>
    </row>
    <row r="6" spans="1:8" ht="15" customHeight="1" x14ac:dyDescent="0.2">
      <c r="A6" s="476" t="s">
        <v>280</v>
      </c>
      <c r="B6" s="62" t="s">
        <v>211</v>
      </c>
      <c r="C6" s="19"/>
      <c r="E6" s="64">
        <f>'Parrilla de Aireación'!E10</f>
        <v>11.612880000000001</v>
      </c>
      <c r="F6" s="6" t="s">
        <v>15</v>
      </c>
      <c r="G6" s="756">
        <f>'Parrilla de Aireación'!G10</f>
        <v>11.612880000000001</v>
      </c>
      <c r="H6" s="571">
        <f t="shared" si="0"/>
        <v>0</v>
      </c>
    </row>
    <row r="7" spans="1:8" ht="15" customHeight="1" x14ac:dyDescent="0.2">
      <c r="A7" s="146"/>
      <c r="B7" s="619" t="s">
        <v>27</v>
      </c>
      <c r="C7" s="480"/>
      <c r="D7" s="480"/>
      <c r="E7" s="467">
        <v>10.199999999999999</v>
      </c>
      <c r="F7" s="482" t="s">
        <v>6</v>
      </c>
      <c r="G7" s="623">
        <v>10.199999999999999</v>
      </c>
      <c r="H7" s="571">
        <f t="shared" si="0"/>
        <v>0</v>
      </c>
    </row>
    <row r="8" spans="1:8" ht="15" customHeight="1" x14ac:dyDescent="0.2">
      <c r="A8" s="146"/>
      <c r="B8" s="621" t="s">
        <v>71</v>
      </c>
      <c r="C8" s="480"/>
      <c r="D8" s="480"/>
      <c r="E8" s="467">
        <v>6</v>
      </c>
      <c r="F8" s="483" t="s">
        <v>25</v>
      </c>
      <c r="G8" s="623">
        <v>6</v>
      </c>
      <c r="H8" s="571">
        <f t="shared" si="0"/>
        <v>0</v>
      </c>
    </row>
    <row r="9" spans="1:8" ht="15" customHeight="1" x14ac:dyDescent="0.2">
      <c r="A9" s="146"/>
      <c r="B9" s="261" t="s">
        <v>205</v>
      </c>
      <c r="C9" s="183"/>
      <c r="D9" s="183"/>
      <c r="E9" s="262">
        <f>0.001*E6/(0.25*3.14*(0.0254*E8)^2)</f>
        <v>0.63694267515923575</v>
      </c>
      <c r="F9" s="11" t="s">
        <v>4</v>
      </c>
      <c r="G9" s="757">
        <f>0.001*G6/(0.25*3.14*(0.0254*G8)^2)</f>
        <v>0.63694267515923575</v>
      </c>
      <c r="H9" s="571">
        <f t="shared" si="0"/>
        <v>0</v>
      </c>
    </row>
    <row r="10" spans="1:8" ht="15" customHeight="1" x14ac:dyDescent="0.2">
      <c r="A10" s="476" t="s">
        <v>431</v>
      </c>
      <c r="B10" s="263" t="s">
        <v>29</v>
      </c>
      <c r="C10" s="264"/>
      <c r="D10" s="264"/>
      <c r="E10" s="221">
        <f>(10.672*E7*(0.001*E6/E5)^1.852)/(0.0254*E8)^4.871</f>
        <v>2.5273999240321438E-2</v>
      </c>
      <c r="F10" s="312" t="s">
        <v>2</v>
      </c>
      <c r="G10" s="623">
        <f>(10.672*G7*(0.001*G6/G5)^1.852)/(0.0254*G8)^4.871</f>
        <v>2.5273999240321438E-2</v>
      </c>
      <c r="H10" s="571">
        <f t="shared" si="0"/>
        <v>0</v>
      </c>
    </row>
    <row r="11" spans="1:8" ht="15" customHeight="1" x14ac:dyDescent="0.2">
      <c r="A11" s="146"/>
      <c r="B11" s="261" t="s">
        <v>26</v>
      </c>
      <c r="C11" s="183"/>
      <c r="D11" s="183"/>
      <c r="E11" s="262">
        <f>E9^2/19.6</f>
        <v>2.0698774053010391E-2</v>
      </c>
      <c r="F11" s="11" t="s">
        <v>2</v>
      </c>
      <c r="G11" s="757">
        <f>G9^2/19.6</f>
        <v>2.0698774053010391E-2</v>
      </c>
      <c r="H11" s="571">
        <f t="shared" si="0"/>
        <v>0</v>
      </c>
    </row>
    <row r="12" spans="1:8" ht="15" customHeight="1" x14ac:dyDescent="0.2">
      <c r="A12" s="146"/>
      <c r="B12" s="139" t="s">
        <v>30</v>
      </c>
      <c r="C12" s="754" t="s">
        <v>206</v>
      </c>
      <c r="D12" s="754" t="s">
        <v>207</v>
      </c>
      <c r="E12" s="752" t="s">
        <v>201</v>
      </c>
      <c r="F12" s="617"/>
      <c r="G12" s="759" t="s">
        <v>510</v>
      </c>
      <c r="H12" s="571"/>
    </row>
    <row r="13" spans="1:8" ht="15" customHeight="1" x14ac:dyDescent="0.2">
      <c r="A13" s="476" t="s">
        <v>430</v>
      </c>
      <c r="B13" s="50" t="s">
        <v>210</v>
      </c>
      <c r="C13" s="474">
        <v>0.9</v>
      </c>
      <c r="D13" s="475">
        <v>1</v>
      </c>
      <c r="E13" s="53">
        <f>C13*D13*E11</f>
        <v>1.8628896647709354E-2</v>
      </c>
      <c r="F13" s="617" t="s">
        <v>2</v>
      </c>
      <c r="G13" s="623">
        <f>C13*D13*G11</f>
        <v>1.8628896647709354E-2</v>
      </c>
      <c r="H13" s="571">
        <f t="shared" ref="H13:H21" si="1">G13-E13</f>
        <v>0</v>
      </c>
    </row>
    <row r="14" spans="1:8" ht="15" customHeight="1" x14ac:dyDescent="0.25">
      <c r="A14" s="146"/>
      <c r="B14" s="613" t="s">
        <v>214</v>
      </c>
      <c r="C14" s="614" t="s">
        <v>201</v>
      </c>
      <c r="D14" s="615"/>
      <c r="E14" s="616">
        <f>E20+E23+E24</f>
        <v>0.23070277630593183</v>
      </c>
      <c r="F14" s="617" t="s">
        <v>2</v>
      </c>
      <c r="G14" s="612">
        <f>G20+G23+G24</f>
        <v>0.23070277630593183</v>
      </c>
      <c r="H14" s="571">
        <f t="shared" si="1"/>
        <v>0</v>
      </c>
    </row>
    <row r="15" spans="1:8" ht="15" customHeight="1" x14ac:dyDescent="0.35">
      <c r="A15" s="146"/>
      <c r="B15" s="50" t="s">
        <v>202</v>
      </c>
      <c r="C15" s="11" t="s">
        <v>203</v>
      </c>
      <c r="D15" s="11" t="s">
        <v>204</v>
      </c>
      <c r="E15" s="47">
        <v>150</v>
      </c>
      <c r="F15" s="618"/>
      <c r="G15" s="755">
        <v>150</v>
      </c>
      <c r="H15" s="571">
        <f t="shared" si="1"/>
        <v>0</v>
      </c>
    </row>
    <row r="16" spans="1:8" ht="15" customHeight="1" x14ac:dyDescent="0.2">
      <c r="A16" s="476" t="s">
        <v>280</v>
      </c>
      <c r="B16" s="62" t="s">
        <v>211</v>
      </c>
      <c r="C16" s="19"/>
      <c r="E16" s="64">
        <f>'Parrilla de Aireación'!F38</f>
        <v>23.225760000000001</v>
      </c>
      <c r="F16" s="6" t="s">
        <v>15</v>
      </c>
      <c r="G16" s="756">
        <f>'Parrilla de Aireación'!G38</f>
        <v>23.225760000000001</v>
      </c>
      <c r="H16" s="571">
        <f t="shared" si="1"/>
        <v>0</v>
      </c>
    </row>
    <row r="17" spans="1:12" ht="15" customHeight="1" x14ac:dyDescent="0.2">
      <c r="A17" s="146"/>
      <c r="B17" s="619" t="s">
        <v>27</v>
      </c>
      <c r="C17" s="480"/>
      <c r="D17" s="480"/>
      <c r="E17" s="467">
        <v>0.8</v>
      </c>
      <c r="F17" s="482" t="s">
        <v>6</v>
      </c>
      <c r="G17" s="623">
        <v>0.8</v>
      </c>
      <c r="H17" s="571">
        <f t="shared" si="1"/>
        <v>0</v>
      </c>
    </row>
    <row r="18" spans="1:12" ht="15" customHeight="1" x14ac:dyDescent="0.2">
      <c r="A18" s="146"/>
      <c r="B18" s="621" t="s">
        <v>71</v>
      </c>
      <c r="C18" s="480"/>
      <c r="D18" s="480"/>
      <c r="E18" s="467">
        <v>6</v>
      </c>
      <c r="F18" s="483" t="s">
        <v>25</v>
      </c>
      <c r="G18" s="623">
        <v>6</v>
      </c>
      <c r="H18" s="571">
        <f t="shared" si="1"/>
        <v>0</v>
      </c>
    </row>
    <row r="19" spans="1:12" ht="15" customHeight="1" x14ac:dyDescent="0.2">
      <c r="A19" s="146"/>
      <c r="B19" s="261" t="s">
        <v>205</v>
      </c>
      <c r="C19" s="183"/>
      <c r="D19" s="183"/>
      <c r="E19" s="262">
        <f>0.001*E16/(0.25*3.14*(0.0254*E18)^2)</f>
        <v>1.2738853503184715</v>
      </c>
      <c r="F19" s="11" t="s">
        <v>4</v>
      </c>
      <c r="G19" s="757">
        <f>0.001*G16/(0.25*3.14*(0.0254*G18)^2)</f>
        <v>1.2738853503184715</v>
      </c>
      <c r="H19" s="571">
        <f t="shared" si="1"/>
        <v>0</v>
      </c>
      <c r="I19" s="63"/>
      <c r="J19" s="63"/>
      <c r="K19" s="166"/>
    </row>
    <row r="20" spans="1:12" ht="15" customHeight="1" x14ac:dyDescent="0.2">
      <c r="A20" s="476" t="s">
        <v>431</v>
      </c>
      <c r="B20" s="263" t="s">
        <v>29</v>
      </c>
      <c r="C20" s="264"/>
      <c r="D20" s="264"/>
      <c r="E20" s="221">
        <f>(10.672*E17*(0.001*E16/E15)^1.852)/(0.0254*E18)^4.871</f>
        <v>7.1560165334196039E-3</v>
      </c>
      <c r="F20" s="312" t="s">
        <v>2</v>
      </c>
      <c r="G20" s="623">
        <f>(10.672*G17*(0.001*G16/G15)^1.852)/(0.0254*G18)^4.871</f>
        <v>7.1560165334196039E-3</v>
      </c>
      <c r="H20" s="571">
        <f t="shared" si="1"/>
        <v>0</v>
      </c>
      <c r="I20" s="63"/>
      <c r="J20" s="63"/>
      <c r="K20" s="161"/>
      <c r="L20" s="162"/>
    </row>
    <row r="21" spans="1:12" ht="15" customHeight="1" x14ac:dyDescent="0.2">
      <c r="A21" s="146"/>
      <c r="B21" s="261" t="s">
        <v>26</v>
      </c>
      <c r="C21" s="183"/>
      <c r="D21" s="183"/>
      <c r="E21" s="262">
        <f>E19^2/19.6</f>
        <v>8.2795096212041563E-2</v>
      </c>
      <c r="F21" s="11" t="s">
        <v>2</v>
      </c>
      <c r="G21" s="757">
        <f>G19^2/19.6</f>
        <v>8.2795096212041563E-2</v>
      </c>
      <c r="H21" s="571">
        <f t="shared" si="1"/>
        <v>0</v>
      </c>
      <c r="I21" s="63"/>
      <c r="J21" s="63"/>
      <c r="K21" s="163"/>
      <c r="L21" s="164"/>
    </row>
    <row r="22" spans="1:12" ht="15" customHeight="1" x14ac:dyDescent="0.2">
      <c r="A22" s="146"/>
      <c r="B22" s="139" t="s">
        <v>30</v>
      </c>
      <c r="C22" s="754" t="s">
        <v>206</v>
      </c>
      <c r="D22" s="754" t="s">
        <v>207</v>
      </c>
      <c r="E22" s="752" t="s">
        <v>201</v>
      </c>
      <c r="F22" s="617"/>
      <c r="G22" s="759" t="s">
        <v>510</v>
      </c>
      <c r="H22" s="571"/>
      <c r="I22" s="63"/>
      <c r="J22" s="63"/>
      <c r="K22" s="163"/>
      <c r="L22" s="164"/>
    </row>
    <row r="23" spans="1:12" ht="15" customHeight="1" x14ac:dyDescent="0.2">
      <c r="A23" s="476" t="s">
        <v>430</v>
      </c>
      <c r="B23" s="50" t="s">
        <v>210</v>
      </c>
      <c r="C23" s="474">
        <v>0.9</v>
      </c>
      <c r="D23" s="475">
        <v>1</v>
      </c>
      <c r="E23" s="53">
        <f>C23*D23*E21</f>
        <v>7.4515586590837415E-2</v>
      </c>
      <c r="F23" s="617" t="s">
        <v>2</v>
      </c>
      <c r="G23" s="623">
        <f>C23*D23*$G$21</f>
        <v>7.4515586590837415E-2</v>
      </c>
      <c r="H23" s="571">
        <f t="shared" ref="H23:H32" si="2">G23-E23</f>
        <v>0</v>
      </c>
      <c r="I23" s="63"/>
      <c r="J23" s="63"/>
      <c r="K23" s="163"/>
      <c r="L23" s="164"/>
    </row>
    <row r="24" spans="1:12" ht="15" customHeight="1" x14ac:dyDescent="0.2">
      <c r="A24" s="476" t="s">
        <v>430</v>
      </c>
      <c r="B24" s="50" t="s">
        <v>212</v>
      </c>
      <c r="C24" s="474">
        <v>1.8</v>
      </c>
      <c r="D24" s="475">
        <v>1</v>
      </c>
      <c r="E24" s="53">
        <f>C24*D24*E21</f>
        <v>0.14903117318167483</v>
      </c>
      <c r="F24" s="617" t="s">
        <v>2</v>
      </c>
      <c r="G24" s="623">
        <f>C24*D24*$G$21</f>
        <v>0.14903117318167483</v>
      </c>
      <c r="H24" s="571">
        <f t="shared" si="2"/>
        <v>0</v>
      </c>
      <c r="I24" s="63"/>
      <c r="J24" s="63"/>
      <c r="K24" s="163"/>
      <c r="L24" s="164"/>
    </row>
    <row r="25" spans="1:12" ht="15" customHeight="1" x14ac:dyDescent="0.25">
      <c r="A25" s="146"/>
      <c r="B25" s="613" t="s">
        <v>213</v>
      </c>
      <c r="C25" s="614" t="s">
        <v>201</v>
      </c>
      <c r="D25" s="615"/>
      <c r="E25" s="616">
        <f>E31+E34</f>
        <v>9.0250560308816147E-2</v>
      </c>
      <c r="F25" s="617" t="s">
        <v>2</v>
      </c>
      <c r="G25" s="612">
        <f>G31+G34</f>
        <v>9.0250560308816147E-2</v>
      </c>
      <c r="H25" s="571">
        <f t="shared" si="2"/>
        <v>0</v>
      </c>
      <c r="I25" s="63"/>
      <c r="J25" s="63"/>
      <c r="K25" s="163"/>
      <c r="L25" s="164"/>
    </row>
    <row r="26" spans="1:12" ht="15" customHeight="1" x14ac:dyDescent="0.35">
      <c r="A26" s="146"/>
      <c r="B26" s="50" t="s">
        <v>202</v>
      </c>
      <c r="C26" s="11" t="s">
        <v>203</v>
      </c>
      <c r="D26" s="11" t="s">
        <v>204</v>
      </c>
      <c r="E26" s="47">
        <v>150</v>
      </c>
      <c r="F26" s="618"/>
      <c r="G26" s="755">
        <v>150</v>
      </c>
      <c r="H26" s="571">
        <f t="shared" si="2"/>
        <v>0</v>
      </c>
      <c r="I26" s="63"/>
      <c r="J26" s="63"/>
      <c r="K26" s="163"/>
      <c r="L26" s="164"/>
    </row>
    <row r="27" spans="1:12" ht="15" customHeight="1" x14ac:dyDescent="0.2">
      <c r="A27" s="476" t="s">
        <v>280</v>
      </c>
      <c r="B27" s="619" t="s">
        <v>86</v>
      </c>
      <c r="C27" s="480"/>
      <c r="D27" s="480"/>
      <c r="E27" s="467">
        <f>'Parrilla de Aireación'!F38</f>
        <v>23.225760000000001</v>
      </c>
      <c r="F27" s="482" t="s">
        <v>15</v>
      </c>
      <c r="G27" s="756">
        <f>'Parrilla de Aireación'!G38</f>
        <v>23.225760000000001</v>
      </c>
      <c r="H27" s="571">
        <f t="shared" si="2"/>
        <v>0</v>
      </c>
      <c r="I27" s="63"/>
      <c r="K27" s="163"/>
      <c r="L27" s="164"/>
    </row>
    <row r="28" spans="1:12" ht="15" customHeight="1" x14ac:dyDescent="0.2">
      <c r="A28" s="146"/>
      <c r="B28" s="621" t="s">
        <v>27</v>
      </c>
      <c r="C28" s="480"/>
      <c r="D28" s="480"/>
      <c r="E28" s="467">
        <v>0.5</v>
      </c>
      <c r="F28" s="483" t="s">
        <v>6</v>
      </c>
      <c r="G28" s="623">
        <v>0.5</v>
      </c>
      <c r="H28" s="571">
        <f t="shared" si="2"/>
        <v>0</v>
      </c>
      <c r="I28" s="63"/>
      <c r="J28" s="63"/>
      <c r="K28" s="163"/>
      <c r="L28" s="164"/>
    </row>
    <row r="29" spans="1:12" ht="15" customHeight="1" x14ac:dyDescent="0.2">
      <c r="A29" s="146"/>
      <c r="B29" s="473" t="s">
        <v>71</v>
      </c>
      <c r="C29" s="19"/>
      <c r="D29" s="19"/>
      <c r="E29" s="53">
        <v>4</v>
      </c>
      <c r="F29" s="21" t="s">
        <v>25</v>
      </c>
      <c r="G29" s="623">
        <v>4</v>
      </c>
      <c r="H29" s="571">
        <f t="shared" si="2"/>
        <v>0</v>
      </c>
      <c r="I29" s="63"/>
      <c r="J29" s="63"/>
      <c r="K29" s="163"/>
      <c r="L29" s="164"/>
    </row>
    <row r="30" spans="1:12" ht="15" customHeight="1" x14ac:dyDescent="0.2">
      <c r="A30" s="146"/>
      <c r="B30" s="261" t="s">
        <v>205</v>
      </c>
      <c r="C30" s="183"/>
      <c r="D30" s="183"/>
      <c r="E30" s="262">
        <f>0.001*E27/(0.25*3.14*(0.0254*E29)^2)</f>
        <v>2.8662420382165608</v>
      </c>
      <c r="F30" s="11" t="s">
        <v>4</v>
      </c>
      <c r="G30" s="757">
        <f>0.001*G27/(0.25*3.14*(0.0254*G29)^2)</f>
        <v>2.8662420382165608</v>
      </c>
      <c r="H30" s="571">
        <f t="shared" si="2"/>
        <v>0</v>
      </c>
      <c r="I30" s="63"/>
      <c r="J30" s="63"/>
      <c r="K30" s="163"/>
      <c r="L30" s="164"/>
    </row>
    <row r="31" spans="1:12" ht="15" customHeight="1" x14ac:dyDescent="0.2">
      <c r="A31" s="476" t="s">
        <v>431</v>
      </c>
      <c r="B31" s="263" t="s">
        <v>29</v>
      </c>
      <c r="C31" s="264"/>
      <c r="D31" s="264"/>
      <c r="E31" s="221">
        <f>(10.672*E28*(0.001*E27/E26)^1.852)/(0.0254*E29)^4.871</f>
        <v>3.2232342967434338E-2</v>
      </c>
      <c r="F31" s="312" t="s">
        <v>2</v>
      </c>
      <c r="G31" s="623">
        <f>(10.672*G28*(0.001*G27/G26)^1.852)/(0.0254*G29)^4.871</f>
        <v>3.2232342967434338E-2</v>
      </c>
      <c r="H31" s="571">
        <f t="shared" si="2"/>
        <v>0</v>
      </c>
      <c r="I31" s="63"/>
      <c r="J31" s="63"/>
      <c r="K31" s="163"/>
      <c r="L31" s="164"/>
    </row>
    <row r="32" spans="1:12" ht="15" customHeight="1" x14ac:dyDescent="0.2">
      <c r="A32" s="146"/>
      <c r="B32" s="261" t="s">
        <v>26</v>
      </c>
      <c r="C32" s="183"/>
      <c r="D32" s="183"/>
      <c r="E32" s="262">
        <f>E30^2/19.6</f>
        <v>0.41915017457346038</v>
      </c>
      <c r="F32" s="11" t="s">
        <v>2</v>
      </c>
      <c r="G32" s="757">
        <f>G30^2/19.6</f>
        <v>0.41915017457346038</v>
      </c>
      <c r="H32" s="571">
        <f t="shared" si="2"/>
        <v>0</v>
      </c>
      <c r="I32" s="63"/>
      <c r="J32" s="63"/>
      <c r="K32" s="163"/>
      <c r="L32" s="164"/>
    </row>
    <row r="33" spans="1:12" ht="15" customHeight="1" x14ac:dyDescent="0.2">
      <c r="A33" s="146"/>
      <c r="B33" s="139" t="s">
        <v>30</v>
      </c>
      <c r="C33" s="754" t="s">
        <v>206</v>
      </c>
      <c r="D33" s="754" t="s">
        <v>207</v>
      </c>
      <c r="E33" s="752" t="s">
        <v>201</v>
      </c>
      <c r="F33" s="617"/>
      <c r="G33" s="759" t="s">
        <v>510</v>
      </c>
      <c r="H33" s="571"/>
      <c r="I33" s="63"/>
      <c r="J33" s="63"/>
      <c r="K33" s="163"/>
      <c r="L33" s="164"/>
    </row>
    <row r="34" spans="1:12" ht="15" customHeight="1" x14ac:dyDescent="0.2">
      <c r="A34" s="476" t="s">
        <v>430</v>
      </c>
      <c r="B34" s="50" t="s">
        <v>212</v>
      </c>
      <c r="C34" s="474">
        <v>1.8</v>
      </c>
      <c r="D34" s="475">
        <v>1</v>
      </c>
      <c r="E34" s="53">
        <f>C34*D34*E31</f>
        <v>5.8018217341381809E-2</v>
      </c>
      <c r="F34" s="617" t="s">
        <v>2</v>
      </c>
      <c r="G34" s="623">
        <f>C34*D34*G31</f>
        <v>5.8018217341381809E-2</v>
      </c>
      <c r="H34" s="571">
        <f t="shared" ref="H34:H42" si="3">G34-E34</f>
        <v>0</v>
      </c>
      <c r="I34" s="63"/>
      <c r="J34" s="63"/>
      <c r="K34" s="163"/>
      <c r="L34" s="164"/>
    </row>
    <row r="35" spans="1:12" ht="15" customHeight="1" x14ac:dyDescent="0.25">
      <c r="A35" s="146"/>
      <c r="B35" s="613" t="s">
        <v>215</v>
      </c>
      <c r="C35" s="614" t="s">
        <v>201</v>
      </c>
      <c r="D35" s="615"/>
      <c r="E35" s="616">
        <f>E41+E44</f>
        <v>0.29714192923649296</v>
      </c>
      <c r="F35" s="617" t="s">
        <v>2</v>
      </c>
      <c r="G35" s="612">
        <f>G41+G44</f>
        <v>0.29714192923649296</v>
      </c>
      <c r="H35" s="571">
        <f t="shared" si="3"/>
        <v>0</v>
      </c>
      <c r="I35" s="63"/>
      <c r="J35" s="63"/>
      <c r="K35" s="163"/>
      <c r="L35" s="164"/>
    </row>
    <row r="36" spans="1:12" ht="15" customHeight="1" x14ac:dyDescent="0.35">
      <c r="A36" s="146"/>
      <c r="B36" s="50" t="s">
        <v>202</v>
      </c>
      <c r="C36" s="11" t="s">
        <v>208</v>
      </c>
      <c r="D36" s="11" t="s">
        <v>204</v>
      </c>
      <c r="E36" s="47">
        <v>135</v>
      </c>
      <c r="F36" s="618"/>
      <c r="G36" s="755">
        <v>135</v>
      </c>
      <c r="H36" s="571">
        <f t="shared" si="3"/>
        <v>0</v>
      </c>
      <c r="I36" s="63"/>
      <c r="J36" s="63"/>
      <c r="K36" s="163"/>
      <c r="L36" s="164"/>
    </row>
    <row r="37" spans="1:12" ht="15" customHeight="1" x14ac:dyDescent="0.2">
      <c r="A37" s="476" t="s">
        <v>280</v>
      </c>
      <c r="B37" s="619" t="s">
        <v>86</v>
      </c>
      <c r="C37" s="480"/>
      <c r="D37" s="480"/>
      <c r="E37" s="467">
        <f>E16/2</f>
        <v>11.612880000000001</v>
      </c>
      <c r="F37" s="482" t="s">
        <v>15</v>
      </c>
      <c r="G37" s="756">
        <f>'Parrilla de Aireación'!G38/2</f>
        <v>11.612880000000001</v>
      </c>
      <c r="H37" s="571">
        <f t="shared" si="3"/>
        <v>0</v>
      </c>
      <c r="I37" s="63"/>
      <c r="J37" s="63"/>
      <c r="K37" s="163"/>
      <c r="L37" s="164"/>
    </row>
    <row r="38" spans="1:12" ht="15" customHeight="1" x14ac:dyDescent="0.2">
      <c r="A38" s="146"/>
      <c r="B38" s="621" t="s">
        <v>27</v>
      </c>
      <c r="C38" s="480"/>
      <c r="D38" s="480"/>
      <c r="E38" s="467">
        <v>5</v>
      </c>
      <c r="F38" s="483" t="s">
        <v>6</v>
      </c>
      <c r="G38" s="623">
        <v>5</v>
      </c>
      <c r="H38" s="571">
        <f t="shared" si="3"/>
        <v>0</v>
      </c>
      <c r="I38" s="63"/>
      <c r="J38" s="63"/>
      <c r="K38" s="163"/>
      <c r="L38" s="164"/>
    </row>
    <row r="39" spans="1:12" ht="15" customHeight="1" x14ac:dyDescent="0.2">
      <c r="A39" s="146"/>
      <c r="B39" s="473" t="s">
        <v>71</v>
      </c>
      <c r="C39" s="19"/>
      <c r="D39" s="19"/>
      <c r="E39" s="53">
        <v>4</v>
      </c>
      <c r="F39" s="21" t="s">
        <v>25</v>
      </c>
      <c r="G39" s="623">
        <v>4</v>
      </c>
      <c r="H39" s="571">
        <f t="shared" si="3"/>
        <v>0</v>
      </c>
      <c r="I39" s="63"/>
      <c r="J39" s="63"/>
      <c r="K39" s="163"/>
      <c r="L39" s="164"/>
    </row>
    <row r="40" spans="1:12" ht="15" customHeight="1" x14ac:dyDescent="0.2">
      <c r="A40" s="146"/>
      <c r="B40" s="261" t="s">
        <v>205</v>
      </c>
      <c r="C40" s="183"/>
      <c r="D40" s="183"/>
      <c r="E40" s="262">
        <f>0.001*E37/(0.25*3.14*(0.0254*E39)^2)</f>
        <v>1.4331210191082804</v>
      </c>
      <c r="F40" s="11" t="s">
        <v>4</v>
      </c>
      <c r="G40" s="757">
        <f>0.001*G37/(0.25*3.14*(0.0254*G39)^2)</f>
        <v>1.4331210191082804</v>
      </c>
      <c r="H40" s="571">
        <f t="shared" si="3"/>
        <v>0</v>
      </c>
      <c r="I40" s="63"/>
      <c r="J40" s="63"/>
      <c r="K40" s="163"/>
      <c r="L40" s="164"/>
    </row>
    <row r="41" spans="1:12" ht="15" customHeight="1" x14ac:dyDescent="0.2">
      <c r="A41" s="476" t="s">
        <v>431</v>
      </c>
      <c r="B41" s="263" t="s">
        <v>29</v>
      </c>
      <c r="C41" s="264"/>
      <c r="D41" s="264"/>
      <c r="E41" s="221">
        <f>(10.672*E38*(0.001*E37/E36)^1.852)/(0.0254*E39)^4.871</f>
        <v>0.10852435067843583</v>
      </c>
      <c r="F41" s="312" t="s">
        <v>2</v>
      </c>
      <c r="G41" s="623">
        <f>(10.672*G38*(0.001*G37/G36)^1.852)/(0.0254*G39)^4.871</f>
        <v>0.10852435067843583</v>
      </c>
      <c r="H41" s="571">
        <f t="shared" si="3"/>
        <v>0</v>
      </c>
      <c r="I41" s="63"/>
      <c r="J41" s="63"/>
      <c r="K41" s="163"/>
      <c r="L41" s="164"/>
    </row>
    <row r="42" spans="1:12" ht="15" customHeight="1" x14ac:dyDescent="0.2">
      <c r="A42" s="146"/>
      <c r="B42" s="261" t="s">
        <v>26</v>
      </c>
      <c r="C42" s="183"/>
      <c r="D42" s="183"/>
      <c r="E42" s="262">
        <f>E40^2/19.6</f>
        <v>0.10478754364336509</v>
      </c>
      <c r="F42" s="11" t="s">
        <v>2</v>
      </c>
      <c r="G42" s="757">
        <f>G40^2/19.6</f>
        <v>0.10478754364336509</v>
      </c>
      <c r="H42" s="571">
        <f t="shared" si="3"/>
        <v>0</v>
      </c>
    </row>
    <row r="43" spans="1:12" ht="15" customHeight="1" x14ac:dyDescent="0.2">
      <c r="A43" s="146"/>
      <c r="B43" s="139" t="s">
        <v>30</v>
      </c>
      <c r="C43" s="754" t="s">
        <v>206</v>
      </c>
      <c r="D43" s="754" t="s">
        <v>207</v>
      </c>
      <c r="E43" s="752" t="s">
        <v>201</v>
      </c>
      <c r="F43" s="617"/>
      <c r="G43" s="759" t="s">
        <v>510</v>
      </c>
      <c r="H43" s="571"/>
    </row>
    <row r="44" spans="1:12" ht="15" customHeight="1" x14ac:dyDescent="0.2">
      <c r="A44" s="476" t="s">
        <v>430</v>
      </c>
      <c r="B44" s="50" t="s">
        <v>209</v>
      </c>
      <c r="C44" s="474">
        <v>1.8</v>
      </c>
      <c r="D44" s="475">
        <v>1</v>
      </c>
      <c r="E44" s="53">
        <f>C44*D44*E42</f>
        <v>0.18861757855805716</v>
      </c>
      <c r="F44" s="617" t="s">
        <v>2</v>
      </c>
      <c r="G44" s="623">
        <f>C44*D44*G42</f>
        <v>0.18861757855805716</v>
      </c>
      <c r="H44" s="571">
        <f t="shared" ref="H44:H52" si="4">G44-E44</f>
        <v>0</v>
      </c>
    </row>
    <row r="45" spans="1:12" ht="15" customHeight="1" x14ac:dyDescent="0.25">
      <c r="A45" s="146"/>
      <c r="B45" s="613" t="s">
        <v>217</v>
      </c>
      <c r="C45" s="614" t="s">
        <v>201</v>
      </c>
      <c r="D45" s="615"/>
      <c r="E45" s="616">
        <f>E51+E54+E55</f>
        <v>0.32095985358088153</v>
      </c>
      <c r="F45" s="617" t="s">
        <v>2</v>
      </c>
      <c r="G45" s="612">
        <f>G51+G54+G55</f>
        <v>0.32095985358088153</v>
      </c>
      <c r="H45" s="571">
        <f t="shared" si="4"/>
        <v>0</v>
      </c>
    </row>
    <row r="46" spans="1:12" ht="15" customHeight="1" x14ac:dyDescent="0.35">
      <c r="A46" s="146"/>
      <c r="B46" s="50" t="s">
        <v>202</v>
      </c>
      <c r="C46" s="11" t="s">
        <v>203</v>
      </c>
      <c r="D46" s="11" t="s">
        <v>204</v>
      </c>
      <c r="E46" s="47">
        <v>150</v>
      </c>
      <c r="F46" s="618"/>
      <c r="G46" s="755">
        <v>150</v>
      </c>
      <c r="H46" s="571">
        <f t="shared" si="4"/>
        <v>0</v>
      </c>
    </row>
    <row r="47" spans="1:12" ht="15" customHeight="1" x14ac:dyDescent="0.2">
      <c r="A47" s="476" t="s">
        <v>280</v>
      </c>
      <c r="B47" s="619" t="s">
        <v>86</v>
      </c>
      <c r="C47" s="796"/>
      <c r="D47" s="796"/>
      <c r="E47" s="467">
        <f>E16/4</f>
        <v>5.8064400000000003</v>
      </c>
      <c r="F47" s="482" t="s">
        <v>15</v>
      </c>
      <c r="G47" s="756">
        <f>G16/4</f>
        <v>5.8064400000000003</v>
      </c>
      <c r="H47" s="571">
        <f t="shared" si="4"/>
        <v>0</v>
      </c>
    </row>
    <row r="48" spans="1:12" ht="15" customHeight="1" x14ac:dyDescent="0.2">
      <c r="A48" s="146"/>
      <c r="B48" s="621" t="s">
        <v>27</v>
      </c>
      <c r="C48" s="480"/>
      <c r="D48" s="480"/>
      <c r="E48" s="467">
        <f>3*0.38</f>
        <v>1.1400000000000001</v>
      </c>
      <c r="F48" s="483" t="s">
        <v>6</v>
      </c>
      <c r="G48" s="623">
        <f>3*0.38</f>
        <v>1.1400000000000001</v>
      </c>
      <c r="H48" s="571">
        <f t="shared" si="4"/>
        <v>0</v>
      </c>
    </row>
    <row r="49" spans="1:8" ht="15" customHeight="1" x14ac:dyDescent="0.2">
      <c r="A49" s="146"/>
      <c r="B49" s="473" t="s">
        <v>71</v>
      </c>
      <c r="C49" s="19"/>
      <c r="D49" s="19"/>
      <c r="E49" s="53">
        <v>3</v>
      </c>
      <c r="F49" s="21" t="s">
        <v>25</v>
      </c>
      <c r="G49" s="623">
        <v>3</v>
      </c>
      <c r="H49" s="571">
        <f t="shared" si="4"/>
        <v>0</v>
      </c>
    </row>
    <row r="50" spans="1:8" ht="15" customHeight="1" x14ac:dyDescent="0.2">
      <c r="A50" s="146"/>
      <c r="B50" s="261" t="s">
        <v>205</v>
      </c>
      <c r="C50" s="183"/>
      <c r="D50" s="183"/>
      <c r="E50" s="262">
        <f>0.001*E47/(0.25*3.14*(0.0254*E49)^2)</f>
        <v>1.2738853503184715</v>
      </c>
      <c r="F50" s="11" t="s">
        <v>4</v>
      </c>
      <c r="G50" s="757">
        <f>0.001*G47/(0.25*3.14*(0.0254*G49)^2)</f>
        <v>1.2738853503184715</v>
      </c>
      <c r="H50" s="571">
        <f t="shared" si="4"/>
        <v>0</v>
      </c>
    </row>
    <row r="51" spans="1:8" ht="15" customHeight="1" x14ac:dyDescent="0.2">
      <c r="A51" s="476" t="s">
        <v>431</v>
      </c>
      <c r="B51" s="263" t="s">
        <v>29</v>
      </c>
      <c r="C51" s="264"/>
      <c r="D51" s="264"/>
      <c r="E51" s="221">
        <f>(10.672*E48*(0.001*E47/E46)^1.852)/(0.0254*E49)^4.871</f>
        <v>2.2897507217531875E-2</v>
      </c>
      <c r="F51" s="312" t="s">
        <v>2</v>
      </c>
      <c r="G51" s="623">
        <f>(10.672*G48*(0.001*G47/G46)^1.852)/(0.0254*G49)^4.871</f>
        <v>2.2897507217531875E-2</v>
      </c>
      <c r="H51" s="571">
        <f t="shared" si="4"/>
        <v>0</v>
      </c>
    </row>
    <row r="52" spans="1:8" ht="15" customHeight="1" x14ac:dyDescent="0.2">
      <c r="A52" s="146"/>
      <c r="B52" s="261" t="s">
        <v>26</v>
      </c>
      <c r="C52" s="183"/>
      <c r="D52" s="183"/>
      <c r="E52" s="262">
        <f>E50^2/19.6</f>
        <v>8.2795096212041563E-2</v>
      </c>
      <c r="F52" s="11" t="s">
        <v>2</v>
      </c>
      <c r="G52" s="757">
        <f>G50^2/19.6</f>
        <v>8.2795096212041563E-2</v>
      </c>
      <c r="H52" s="571">
        <f t="shared" si="4"/>
        <v>0</v>
      </c>
    </row>
    <row r="53" spans="1:8" ht="15" customHeight="1" x14ac:dyDescent="0.2">
      <c r="A53" s="146"/>
      <c r="B53" s="139" t="s">
        <v>30</v>
      </c>
      <c r="C53" s="754" t="s">
        <v>206</v>
      </c>
      <c r="D53" s="754" t="s">
        <v>207</v>
      </c>
      <c r="E53" s="752" t="s">
        <v>201</v>
      </c>
      <c r="F53" s="617"/>
      <c r="G53" s="759" t="s">
        <v>510</v>
      </c>
      <c r="H53" s="571"/>
    </row>
    <row r="54" spans="1:8" ht="15" customHeight="1" x14ac:dyDescent="0.2">
      <c r="A54" s="476" t="s">
        <v>430</v>
      </c>
      <c r="B54" s="50" t="s">
        <v>216</v>
      </c>
      <c r="C54" s="474">
        <v>0.4</v>
      </c>
      <c r="D54" s="475">
        <v>3</v>
      </c>
      <c r="E54" s="53">
        <f>C54*D54*E52</f>
        <v>9.9354115454449887E-2</v>
      </c>
      <c r="F54" s="617" t="s">
        <v>2</v>
      </c>
      <c r="G54" s="623">
        <f>C54*D54*$G$52</f>
        <v>9.9354115454449887E-2</v>
      </c>
      <c r="H54" s="571">
        <f>G54-E54</f>
        <v>0</v>
      </c>
    </row>
    <row r="55" spans="1:8" ht="15" customHeight="1" x14ac:dyDescent="0.2">
      <c r="A55" s="476" t="s">
        <v>430</v>
      </c>
      <c r="B55" s="50" t="s">
        <v>218</v>
      </c>
      <c r="C55" s="474">
        <v>0.3</v>
      </c>
      <c r="D55" s="475">
        <v>8</v>
      </c>
      <c r="E55" s="53">
        <f>E52*C55*D55</f>
        <v>0.19870823090889975</v>
      </c>
      <c r="F55" s="617" t="s">
        <v>2</v>
      </c>
      <c r="G55" s="623">
        <f>C55*D55*$G$52</f>
        <v>0.19870823090889975</v>
      </c>
      <c r="H55" s="571">
        <f>G55-E55</f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320F-F3CA-412E-A320-45CD8A3D7FFF}">
  <dimension ref="A1:M37"/>
  <sheetViews>
    <sheetView showGridLines="0" zoomScale="75" zoomScaleNormal="75" workbookViewId="0">
      <selection activeCell="E6" sqref="E6"/>
    </sheetView>
  </sheetViews>
  <sheetFormatPr baseColWidth="10" defaultRowHeight="12.75" x14ac:dyDescent="0.2"/>
  <cols>
    <col min="1" max="1" width="24.42578125" customWidth="1"/>
    <col min="2" max="2" width="31.7109375" customWidth="1"/>
    <col min="3" max="3" width="10.42578125" customWidth="1"/>
    <col min="4" max="4" width="15" customWidth="1"/>
    <col min="5" max="5" width="12.42578125" customWidth="1"/>
    <col min="6" max="6" width="6.5703125" customWidth="1"/>
    <col min="7" max="7" width="14.42578125" customWidth="1"/>
    <col min="8" max="8" width="1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1.5" x14ac:dyDescent="0.2">
      <c r="A1" s="602" t="s">
        <v>105</v>
      </c>
      <c r="G1" s="307" t="s">
        <v>197</v>
      </c>
      <c r="H1" s="308" t="s">
        <v>198</v>
      </c>
    </row>
    <row r="2" spans="1:8" ht="15.75" x14ac:dyDescent="0.25">
      <c r="A2" s="603"/>
      <c r="B2" s="604"/>
      <c r="C2" s="605" t="s">
        <v>237</v>
      </c>
      <c r="D2" s="30"/>
      <c r="E2" s="30"/>
      <c r="F2" s="30"/>
      <c r="G2" s="606"/>
      <c r="H2" s="571"/>
    </row>
    <row r="3" spans="1:8" ht="15" x14ac:dyDescent="0.25">
      <c r="A3" s="603"/>
      <c r="B3" s="607"/>
      <c r="C3" s="625" t="s">
        <v>199</v>
      </c>
      <c r="D3" s="610"/>
      <c r="E3" s="610">
        <f>E4+E16+E28</f>
        <v>0.49785152132964655</v>
      </c>
      <c r="F3" s="611" t="s">
        <v>2</v>
      </c>
      <c r="G3" s="612">
        <f>G4+G16+G28</f>
        <v>0.49785152132964655</v>
      </c>
      <c r="H3" s="571">
        <f t="shared" ref="H3:H37" si="0">G3-E3</f>
        <v>0</v>
      </c>
    </row>
    <row r="4" spans="1:8" ht="15" customHeight="1" x14ac:dyDescent="0.25">
      <c r="A4" s="146"/>
      <c r="B4" s="613" t="s">
        <v>200</v>
      </c>
      <c r="C4" s="614" t="s">
        <v>201</v>
      </c>
      <c r="D4" s="615"/>
      <c r="E4" s="616">
        <f>E13+E15</f>
        <v>5.5106349960552352E-2</v>
      </c>
      <c r="F4" s="617" t="s">
        <v>2</v>
      </c>
      <c r="G4" s="612">
        <f>G13+G15</f>
        <v>5.5106349960552352E-2</v>
      </c>
      <c r="H4" s="571">
        <f t="shared" si="0"/>
        <v>0</v>
      </c>
    </row>
    <row r="5" spans="1:8" ht="15" customHeight="1" x14ac:dyDescent="0.35">
      <c r="A5" s="146"/>
      <c r="B5" s="50" t="s">
        <v>202</v>
      </c>
      <c r="C5" s="11" t="s">
        <v>203</v>
      </c>
      <c r="D5" s="11" t="s">
        <v>204</v>
      </c>
      <c r="E5" s="47">
        <v>150</v>
      </c>
      <c r="F5" s="618"/>
      <c r="G5" s="589">
        <v>150</v>
      </c>
      <c r="H5" s="571">
        <f t="shared" si="0"/>
        <v>0</v>
      </c>
    </row>
    <row r="6" spans="1:8" ht="15" customHeight="1" x14ac:dyDescent="0.2">
      <c r="A6" s="476" t="s">
        <v>393</v>
      </c>
      <c r="B6" s="62" t="s">
        <v>254</v>
      </c>
      <c r="C6" s="19"/>
      <c r="E6" s="64">
        <f>'Parab Camarones'!E200</f>
        <v>5.6618640627650878</v>
      </c>
      <c r="F6" s="6" t="s">
        <v>15</v>
      </c>
      <c r="G6" s="590">
        <f>'Parab Camarones'!G200</f>
        <v>5.6618640627650878</v>
      </c>
      <c r="H6" s="571">
        <f t="shared" si="0"/>
        <v>0</v>
      </c>
    </row>
    <row r="7" spans="1:8" ht="15" customHeight="1" x14ac:dyDescent="0.2">
      <c r="A7" s="146"/>
      <c r="B7" s="619" t="s">
        <v>85</v>
      </c>
      <c r="C7" s="480"/>
      <c r="D7" s="480"/>
      <c r="E7" s="467">
        <v>2</v>
      </c>
      <c r="F7" s="482"/>
      <c r="G7" s="620">
        <v>2</v>
      </c>
      <c r="H7" s="571">
        <f t="shared" si="0"/>
        <v>0</v>
      </c>
    </row>
    <row r="8" spans="1:8" ht="15" customHeight="1" x14ac:dyDescent="0.2">
      <c r="A8" s="146"/>
      <c r="B8" s="473" t="s">
        <v>211</v>
      </c>
      <c r="C8" s="19"/>
      <c r="D8" s="19"/>
      <c r="E8" s="53">
        <f>E6/E7</f>
        <v>2.8309320313825439</v>
      </c>
      <c r="F8" s="21" t="s">
        <v>15</v>
      </c>
      <c r="G8" s="620">
        <f>G6/G7</f>
        <v>2.8309320313825439</v>
      </c>
      <c r="H8" s="571">
        <f t="shared" si="0"/>
        <v>0</v>
      </c>
    </row>
    <row r="9" spans="1:8" ht="15" customHeight="1" x14ac:dyDescent="0.2">
      <c r="A9" s="146"/>
      <c r="B9" s="626" t="s">
        <v>27</v>
      </c>
      <c r="C9" s="291"/>
      <c r="D9" s="291"/>
      <c r="E9" s="627">
        <v>9.5</v>
      </c>
      <c r="F9" s="481" t="s">
        <v>6</v>
      </c>
      <c r="G9" s="622">
        <v>9.5</v>
      </c>
      <c r="H9" s="571">
        <f t="shared" si="0"/>
        <v>0</v>
      </c>
    </row>
    <row r="10" spans="1:8" ht="15" customHeight="1" x14ac:dyDescent="0.2">
      <c r="A10" s="476"/>
      <c r="B10" s="628" t="s">
        <v>71</v>
      </c>
      <c r="C10" s="629"/>
      <c r="D10" s="629"/>
      <c r="E10" s="630">
        <v>3</v>
      </c>
      <c r="F10" s="631" t="s">
        <v>25</v>
      </c>
      <c r="G10" s="623">
        <v>3</v>
      </c>
      <c r="H10" s="571">
        <f t="shared" si="0"/>
        <v>0</v>
      </c>
    </row>
    <row r="11" spans="1:8" ht="15" customHeight="1" x14ac:dyDescent="0.2">
      <c r="A11" s="146"/>
      <c r="B11" s="261" t="s">
        <v>205</v>
      </c>
      <c r="C11" s="183"/>
      <c r="D11" s="183"/>
      <c r="E11" s="262">
        <f>0.001*E8/(0.25*3.14*(0.0254*E10)^2)</f>
        <v>0.6210832872681944</v>
      </c>
      <c r="F11" s="11" t="s">
        <v>4</v>
      </c>
      <c r="G11" s="622">
        <f>0.001*G8/(0.25*3.14*(0.0254*G10)^2)</f>
        <v>0.6210832872681944</v>
      </c>
      <c r="H11" s="571">
        <f t="shared" si="0"/>
        <v>0</v>
      </c>
    </row>
    <row r="12" spans="1:8" ht="15" customHeight="1" x14ac:dyDescent="0.2">
      <c r="A12" s="476" t="s">
        <v>431</v>
      </c>
      <c r="B12" s="261" t="s">
        <v>29</v>
      </c>
      <c r="C12" s="183"/>
      <c r="D12" s="183"/>
      <c r="E12" s="262">
        <f>(10.672*E9*(0.001*E8/E5)^1.852)/(0.0254*E10)^4.871</f>
        <v>5.0445109840115181E-2</v>
      </c>
      <c r="F12" s="11" t="s">
        <v>2</v>
      </c>
      <c r="G12" s="622">
        <f>(10.672*G9*(0.001*G8/G5)^1.852)/(0.0254*G10)^4.871</f>
        <v>5.0445109840115181E-2</v>
      </c>
      <c r="H12" s="571">
        <f t="shared" si="0"/>
        <v>0</v>
      </c>
    </row>
    <row r="13" spans="1:8" ht="15" customHeight="1" x14ac:dyDescent="0.2">
      <c r="A13" s="146"/>
      <c r="B13" s="440" t="s">
        <v>26</v>
      </c>
      <c r="C13" s="183"/>
      <c r="E13" s="262">
        <f>E11^2/19.6</f>
        <v>1.9680839271625838E-2</v>
      </c>
      <c r="F13" s="11" t="s">
        <v>2</v>
      </c>
      <c r="G13" s="622">
        <f>G11^2/19.6</f>
        <v>1.9680839271625838E-2</v>
      </c>
      <c r="H13" s="571">
        <f t="shared" si="0"/>
        <v>0</v>
      </c>
    </row>
    <row r="14" spans="1:8" ht="15" customHeight="1" x14ac:dyDescent="0.2">
      <c r="A14" s="146"/>
      <c r="B14" s="139" t="s">
        <v>30</v>
      </c>
      <c r="C14" s="754" t="s">
        <v>206</v>
      </c>
      <c r="D14" s="754" t="s">
        <v>207</v>
      </c>
      <c r="E14" s="752" t="s">
        <v>201</v>
      </c>
      <c r="F14" s="617"/>
      <c r="G14" s="624" t="s">
        <v>510</v>
      </c>
      <c r="H14" s="571"/>
    </row>
    <row r="15" spans="1:8" ht="15" customHeight="1" x14ac:dyDescent="0.2">
      <c r="A15" s="476" t="s">
        <v>430</v>
      </c>
      <c r="B15" s="50" t="s">
        <v>212</v>
      </c>
      <c r="C15" s="474">
        <v>1.8</v>
      </c>
      <c r="D15" s="475">
        <v>1</v>
      </c>
      <c r="E15" s="53">
        <f>C15*D15*E13</f>
        <v>3.5425510688926513E-2</v>
      </c>
      <c r="F15" s="617" t="s">
        <v>2</v>
      </c>
      <c r="G15" s="620">
        <f>C15*D15*G13</f>
        <v>3.5425510688926513E-2</v>
      </c>
      <c r="H15" s="571">
        <f t="shared" si="0"/>
        <v>0</v>
      </c>
    </row>
    <row r="16" spans="1:8" ht="15" customHeight="1" x14ac:dyDescent="0.25">
      <c r="A16" s="146"/>
      <c r="B16" s="613" t="s">
        <v>256</v>
      </c>
      <c r="C16" s="614" t="s">
        <v>201</v>
      </c>
      <c r="D16" s="615"/>
      <c r="E16" s="616">
        <f>E22+E25+E26+E27</f>
        <v>0.1886339799135161</v>
      </c>
      <c r="F16" s="617" t="s">
        <v>2</v>
      </c>
      <c r="G16" s="612">
        <f>G22+G25+G26+G27</f>
        <v>0.1886339799135161</v>
      </c>
      <c r="H16" s="571">
        <f t="shared" si="0"/>
        <v>0</v>
      </c>
    </row>
    <row r="17" spans="1:13" ht="15" customHeight="1" x14ac:dyDescent="0.35">
      <c r="A17" s="146"/>
      <c r="B17" s="50" t="s">
        <v>202</v>
      </c>
      <c r="C17" s="11" t="s">
        <v>203</v>
      </c>
      <c r="D17" s="11" t="s">
        <v>204</v>
      </c>
      <c r="E17" s="47">
        <v>150</v>
      </c>
      <c r="F17" s="618"/>
      <c r="G17" s="589">
        <v>150</v>
      </c>
      <c r="H17" s="571">
        <f t="shared" si="0"/>
        <v>0</v>
      </c>
    </row>
    <row r="18" spans="1:13" ht="15" customHeight="1" x14ac:dyDescent="0.2">
      <c r="A18" s="476"/>
      <c r="B18" s="62" t="s">
        <v>211</v>
      </c>
      <c r="C18" s="19"/>
      <c r="E18" s="64">
        <f>E8</f>
        <v>2.8309320313825439</v>
      </c>
      <c r="F18" s="6" t="s">
        <v>15</v>
      </c>
      <c r="G18" s="590">
        <f>G8</f>
        <v>2.8309320313825439</v>
      </c>
      <c r="H18" s="571">
        <f t="shared" si="0"/>
        <v>0</v>
      </c>
    </row>
    <row r="19" spans="1:13" ht="15" customHeight="1" x14ac:dyDescent="0.2">
      <c r="A19" s="146"/>
      <c r="B19" s="52" t="s">
        <v>27</v>
      </c>
      <c r="C19" s="19"/>
      <c r="D19" s="19"/>
      <c r="E19" s="53">
        <f>0.4+2.2</f>
        <v>2.6</v>
      </c>
      <c r="F19" s="6" t="s">
        <v>6</v>
      </c>
      <c r="G19" s="620">
        <f>0.4+2.2</f>
        <v>2.6</v>
      </c>
      <c r="H19" s="571">
        <f t="shared" si="0"/>
        <v>0</v>
      </c>
    </row>
    <row r="20" spans="1:13" ht="15" customHeight="1" x14ac:dyDescent="0.2">
      <c r="A20" s="146"/>
      <c r="B20" s="473" t="s">
        <v>71</v>
      </c>
      <c r="C20" s="19"/>
      <c r="D20" s="19"/>
      <c r="E20" s="53">
        <v>2.5</v>
      </c>
      <c r="F20" s="21" t="s">
        <v>25</v>
      </c>
      <c r="G20" s="620">
        <v>2.5</v>
      </c>
      <c r="H20" s="571">
        <f t="shared" si="0"/>
        <v>0</v>
      </c>
    </row>
    <row r="21" spans="1:13" ht="15" customHeight="1" x14ac:dyDescent="0.2">
      <c r="A21" s="146"/>
      <c r="B21" s="261" t="s">
        <v>205</v>
      </c>
      <c r="C21" s="183"/>
      <c r="D21" s="183"/>
      <c r="E21" s="262">
        <f>0.001*E18/(0.25*3.14*(0.0254*E20)^2)</f>
        <v>0.89435993366619959</v>
      </c>
      <c r="F21" s="11" t="s">
        <v>4</v>
      </c>
      <c r="G21" s="622">
        <f>0.001*G18/(0.25*3.14*(0.0254*G20)^2)</f>
        <v>0.89435993366619959</v>
      </c>
      <c r="H21" s="571">
        <f t="shared" si="0"/>
        <v>0</v>
      </c>
    </row>
    <row r="22" spans="1:13" ht="15" customHeight="1" x14ac:dyDescent="0.2">
      <c r="A22" s="476" t="s">
        <v>431</v>
      </c>
      <c r="B22" s="263" t="s">
        <v>29</v>
      </c>
      <c r="C22" s="264"/>
      <c r="D22" s="264"/>
      <c r="E22" s="221">
        <f>(10.672*E19*(0.001*E18/E17)^1.852)/(0.0254*E20)^4.871</f>
        <v>3.3555264321671538E-2</v>
      </c>
      <c r="F22" s="312" t="s">
        <v>2</v>
      </c>
      <c r="G22" s="587">
        <f>(10.672*G19*(0.001*G18/G17)^1.852)/(0.0254*G20)^4.871</f>
        <v>3.3555264321671538E-2</v>
      </c>
      <c r="H22" s="571">
        <f t="shared" si="0"/>
        <v>0</v>
      </c>
      <c r="J22" s="63"/>
      <c r="K22" s="63"/>
      <c r="L22" s="166"/>
    </row>
    <row r="23" spans="1:13" ht="15" customHeight="1" x14ac:dyDescent="0.2">
      <c r="A23" s="146"/>
      <c r="B23" s="261" t="s">
        <v>26</v>
      </c>
      <c r="C23" s="183"/>
      <c r="D23" s="183"/>
      <c r="E23" s="262">
        <f>E21^2/19.6</f>
        <v>4.081018831364331E-2</v>
      </c>
      <c r="F23" s="11" t="s">
        <v>2</v>
      </c>
      <c r="G23" s="632">
        <f>G21^2/19.6</f>
        <v>4.081018831364331E-2</v>
      </c>
      <c r="H23" s="571">
        <f t="shared" si="0"/>
        <v>0</v>
      </c>
      <c r="J23" s="63"/>
      <c r="K23" s="63"/>
      <c r="L23" s="161"/>
      <c r="M23" s="162"/>
    </row>
    <row r="24" spans="1:13" ht="15" customHeight="1" x14ac:dyDescent="0.2">
      <c r="A24" s="146"/>
      <c r="B24" s="139" t="s">
        <v>30</v>
      </c>
      <c r="C24" s="754" t="s">
        <v>206</v>
      </c>
      <c r="D24" s="754" t="s">
        <v>207</v>
      </c>
      <c r="E24" s="752" t="s">
        <v>201</v>
      </c>
      <c r="F24" s="617"/>
      <c r="G24" s="633" t="s">
        <v>510</v>
      </c>
      <c r="H24" s="571"/>
      <c r="J24" s="63"/>
      <c r="K24" s="63"/>
      <c r="L24" s="163"/>
      <c r="M24" s="164"/>
    </row>
    <row r="25" spans="1:13" ht="15" customHeight="1" x14ac:dyDescent="0.2">
      <c r="A25" s="476" t="s">
        <v>430</v>
      </c>
      <c r="B25" s="50" t="s">
        <v>210</v>
      </c>
      <c r="C25" s="474">
        <v>0.9</v>
      </c>
      <c r="D25" s="475">
        <v>2</v>
      </c>
      <c r="E25" s="53">
        <f>C25*D25*E23</f>
        <v>7.3458338964557959E-2</v>
      </c>
      <c r="F25" s="617" t="s">
        <v>2</v>
      </c>
      <c r="G25" s="571">
        <f>C25*D25*$G$23</f>
        <v>7.3458338964557959E-2</v>
      </c>
      <c r="H25" s="571">
        <f t="shared" si="0"/>
        <v>0</v>
      </c>
      <c r="J25" s="63"/>
      <c r="K25" s="63"/>
      <c r="L25" s="163"/>
      <c r="M25" s="164"/>
    </row>
    <row r="26" spans="1:13" ht="15" customHeight="1" x14ac:dyDescent="0.2">
      <c r="A26" s="476" t="s">
        <v>430</v>
      </c>
      <c r="B26" s="50" t="s">
        <v>212</v>
      </c>
      <c r="C26" s="474">
        <v>1.8</v>
      </c>
      <c r="D26" s="475">
        <v>1</v>
      </c>
      <c r="E26" s="53">
        <f>C26*D26*E23</f>
        <v>7.3458338964557959E-2</v>
      </c>
      <c r="F26" s="617" t="s">
        <v>2</v>
      </c>
      <c r="G26" s="571">
        <f t="shared" ref="G26:G27" si="1">C26*D26*$G$23</f>
        <v>7.3458338964557959E-2</v>
      </c>
      <c r="H26" s="571">
        <f t="shared" si="0"/>
        <v>0</v>
      </c>
      <c r="J26" s="63"/>
      <c r="K26" s="63"/>
      <c r="L26" s="163"/>
      <c r="M26" s="164"/>
    </row>
    <row r="27" spans="1:13" ht="15" customHeight="1" x14ac:dyDescent="0.2">
      <c r="A27" s="476" t="s">
        <v>430</v>
      </c>
      <c r="B27" s="50" t="s">
        <v>258</v>
      </c>
      <c r="C27" s="474">
        <v>0.2</v>
      </c>
      <c r="D27" s="475">
        <v>1</v>
      </c>
      <c r="E27" s="53">
        <f>C27*D27*E23</f>
        <v>8.1620376627286623E-3</v>
      </c>
      <c r="F27" s="617" t="s">
        <v>2</v>
      </c>
      <c r="G27" s="571">
        <f t="shared" si="1"/>
        <v>8.1620376627286623E-3</v>
      </c>
      <c r="H27" s="571">
        <f t="shared" si="0"/>
        <v>0</v>
      </c>
      <c r="J27" s="63"/>
      <c r="K27" s="63"/>
      <c r="L27" s="163"/>
      <c r="M27" s="164"/>
    </row>
    <row r="28" spans="1:13" ht="15" customHeight="1" x14ac:dyDescent="0.25">
      <c r="A28" s="146"/>
      <c r="B28" s="613" t="s">
        <v>257</v>
      </c>
      <c r="C28" s="614" t="s">
        <v>201</v>
      </c>
      <c r="D28" s="615"/>
      <c r="E28" s="616">
        <f>E34+E37</f>
        <v>0.25411119145557809</v>
      </c>
      <c r="F28" s="617" t="s">
        <v>2</v>
      </c>
      <c r="G28" s="634">
        <f>G34+G37</f>
        <v>0.25411119145557809</v>
      </c>
      <c r="H28" s="571">
        <f t="shared" si="0"/>
        <v>0</v>
      </c>
    </row>
    <row r="29" spans="1:13" ht="15" customHeight="1" x14ac:dyDescent="0.35">
      <c r="A29" s="146"/>
      <c r="B29" s="50" t="s">
        <v>202</v>
      </c>
      <c r="C29" s="11" t="s">
        <v>203</v>
      </c>
      <c r="D29" s="11" t="s">
        <v>204</v>
      </c>
      <c r="E29" s="47">
        <v>150</v>
      </c>
      <c r="F29" s="618"/>
      <c r="G29" s="581">
        <v>150</v>
      </c>
      <c r="H29" s="571">
        <f t="shared" si="0"/>
        <v>0</v>
      </c>
    </row>
    <row r="30" spans="1:13" ht="15" customHeight="1" x14ac:dyDescent="0.2">
      <c r="A30" s="476"/>
      <c r="B30" s="62" t="s">
        <v>211</v>
      </c>
      <c r="C30" s="19"/>
      <c r="E30" s="64">
        <f>E6</f>
        <v>5.6618640627650878</v>
      </c>
      <c r="F30" s="6" t="s">
        <v>15</v>
      </c>
      <c r="G30" s="582">
        <f>G6</f>
        <v>5.6618640627650878</v>
      </c>
      <c r="H30" s="571">
        <f t="shared" si="0"/>
        <v>0</v>
      </c>
    </row>
    <row r="31" spans="1:13" ht="15" customHeight="1" x14ac:dyDescent="0.2">
      <c r="A31" s="146"/>
      <c r="B31" s="619" t="s">
        <v>27</v>
      </c>
      <c r="C31" s="480"/>
      <c r="D31" s="480"/>
      <c r="E31" s="467">
        <v>3.4</v>
      </c>
      <c r="F31" s="482" t="s">
        <v>6</v>
      </c>
      <c r="G31" s="571">
        <v>3.4</v>
      </c>
      <c r="H31" s="571">
        <f t="shared" si="0"/>
        <v>0</v>
      </c>
    </row>
    <row r="32" spans="1:13" ht="15" customHeight="1" x14ac:dyDescent="0.2">
      <c r="A32" s="146"/>
      <c r="B32" s="621" t="s">
        <v>71</v>
      </c>
      <c r="C32" s="480"/>
      <c r="D32" s="480"/>
      <c r="E32" s="467">
        <v>3</v>
      </c>
      <c r="F32" s="483" t="s">
        <v>25</v>
      </c>
      <c r="G32" s="571">
        <v>3</v>
      </c>
      <c r="H32" s="571">
        <f t="shared" si="0"/>
        <v>0</v>
      </c>
    </row>
    <row r="33" spans="1:8" ht="15" customHeight="1" x14ac:dyDescent="0.2">
      <c r="A33" s="146"/>
      <c r="B33" s="261" t="s">
        <v>205</v>
      </c>
      <c r="C33" s="183"/>
      <c r="D33" s="183"/>
      <c r="E33" s="262">
        <f>0.001*E30/(0.25*3.14*(0.0254*E32)^2)</f>
        <v>1.2421665745363888</v>
      </c>
      <c r="F33" s="11" t="s">
        <v>4</v>
      </c>
      <c r="G33" s="632">
        <f>0.001*G30/(0.25*3.14*(0.0254*G32)^2)</f>
        <v>1.2421665745363888</v>
      </c>
      <c r="H33" s="571">
        <f t="shared" si="0"/>
        <v>0</v>
      </c>
    </row>
    <row r="34" spans="1:8" ht="15" customHeight="1" x14ac:dyDescent="0.2">
      <c r="A34" s="476" t="s">
        <v>431</v>
      </c>
      <c r="B34" s="263" t="s">
        <v>29</v>
      </c>
      <c r="C34" s="264"/>
      <c r="D34" s="264"/>
      <c r="E34" s="221">
        <f>(10.672*E31*(0.001*E30/E29)^1.852)/(0.0254*E32)^4.871</f>
        <v>6.5175134447970032E-2</v>
      </c>
      <c r="F34" s="312" t="s">
        <v>2</v>
      </c>
      <c r="G34" s="587">
        <f>(10.672*G31*(0.001*G30/G29)^1.852)/(0.0254*G32)^4.871</f>
        <v>6.5175134447970032E-2</v>
      </c>
      <c r="H34" s="571">
        <f t="shared" si="0"/>
        <v>0</v>
      </c>
    </row>
    <row r="35" spans="1:8" ht="15" customHeight="1" x14ac:dyDescent="0.2">
      <c r="A35" s="146"/>
      <c r="B35" s="261" t="s">
        <v>26</v>
      </c>
      <c r="C35" s="183"/>
      <c r="D35" s="183"/>
      <c r="E35" s="262">
        <f>E33^2/19.6</f>
        <v>7.8723357086503354E-2</v>
      </c>
      <c r="F35" s="11" t="s">
        <v>2</v>
      </c>
      <c r="G35" s="632">
        <f>G33^2/19.6</f>
        <v>7.8723357086503354E-2</v>
      </c>
      <c r="H35" s="571">
        <f t="shared" si="0"/>
        <v>0</v>
      </c>
    </row>
    <row r="36" spans="1:8" ht="15" customHeight="1" x14ac:dyDescent="0.2">
      <c r="A36" s="146"/>
      <c r="B36" s="478" t="s">
        <v>30</v>
      </c>
      <c r="C36" s="754" t="s">
        <v>206</v>
      </c>
      <c r="D36" s="754" t="s">
        <v>207</v>
      </c>
      <c r="E36" s="752" t="s">
        <v>201</v>
      </c>
      <c r="F36" s="617"/>
      <c r="G36" s="633" t="s">
        <v>510</v>
      </c>
      <c r="H36" s="571"/>
    </row>
    <row r="37" spans="1:8" ht="15" customHeight="1" x14ac:dyDescent="0.2">
      <c r="A37" s="476" t="s">
        <v>430</v>
      </c>
      <c r="B37" s="50" t="s">
        <v>259</v>
      </c>
      <c r="C37" s="474">
        <v>0.3</v>
      </c>
      <c r="D37" s="475">
        <v>8</v>
      </c>
      <c r="E37" s="53">
        <f>C37*D37*E35</f>
        <v>0.18893605700760804</v>
      </c>
      <c r="F37" s="617" t="s">
        <v>2</v>
      </c>
      <c r="G37" s="571">
        <f>C37*D37*G35</f>
        <v>0.18893605700760804</v>
      </c>
      <c r="H37" s="571">
        <f t="shared" si="0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E15F-14DA-41FF-B0E4-C5D2D1494DD4}">
  <dimension ref="A1:H74"/>
  <sheetViews>
    <sheetView showGridLines="0" zoomScale="75" zoomScaleNormal="75" workbookViewId="0">
      <selection activeCell="C35" sqref="C35"/>
    </sheetView>
  </sheetViews>
  <sheetFormatPr baseColWidth="10" defaultRowHeight="12.75" x14ac:dyDescent="0.2"/>
  <cols>
    <col min="1" max="1" width="26.5703125" customWidth="1"/>
    <col min="2" max="2" width="43.42578125" customWidth="1"/>
    <col min="3" max="3" width="12.28515625" customWidth="1"/>
    <col min="4" max="4" width="17.85546875" customWidth="1"/>
    <col min="5" max="5" width="12.42578125" customWidth="1"/>
    <col min="6" max="6" width="9.85546875" customWidth="1"/>
    <col min="7" max="7" width="13.7109375" customWidth="1"/>
    <col min="8" max="8" width="13.285156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1.5" x14ac:dyDescent="0.2">
      <c r="A1" s="602" t="s">
        <v>105</v>
      </c>
      <c r="G1" s="307" t="s">
        <v>197</v>
      </c>
      <c r="H1" s="308" t="s">
        <v>198</v>
      </c>
    </row>
    <row r="2" spans="1:8" ht="15.75" x14ac:dyDescent="0.25">
      <c r="B2" s="604"/>
      <c r="C2" s="605" t="s">
        <v>263</v>
      </c>
      <c r="D2" s="30"/>
      <c r="E2" s="30"/>
      <c r="F2" s="30"/>
      <c r="G2" s="146"/>
      <c r="H2" s="146"/>
    </row>
    <row r="3" spans="1:8" ht="15" x14ac:dyDescent="0.25">
      <c r="A3" s="146"/>
      <c r="B3" s="635" t="s">
        <v>199</v>
      </c>
      <c r="C3" s="608"/>
      <c r="D3" s="609"/>
      <c r="E3" s="610">
        <f>E4+E16</f>
        <v>2.8771410177280679</v>
      </c>
      <c r="F3" s="611" t="s">
        <v>2</v>
      </c>
      <c r="G3" s="612">
        <f>G4+G16</f>
        <v>2.8771410177280679</v>
      </c>
      <c r="H3" s="571">
        <f t="shared" ref="H3:H25" si="0">G3-E3</f>
        <v>0</v>
      </c>
    </row>
    <row r="4" spans="1:8" ht="15.75" x14ac:dyDescent="0.25">
      <c r="A4" s="146"/>
      <c r="B4" s="636" t="s">
        <v>292</v>
      </c>
      <c r="C4" s="158" t="s">
        <v>201</v>
      </c>
      <c r="D4" s="615"/>
      <c r="E4" s="616">
        <f>E10+SUM(E13:E15)</f>
        <v>2.2241657891598168</v>
      </c>
      <c r="F4" s="617" t="s">
        <v>2</v>
      </c>
      <c r="G4" s="612">
        <f>G10+SUM(G13:G15)</f>
        <v>2.2241657891598168</v>
      </c>
      <c r="H4" s="571">
        <f t="shared" si="0"/>
        <v>0</v>
      </c>
    </row>
    <row r="5" spans="1:8" ht="18.75" x14ac:dyDescent="0.35">
      <c r="A5" s="146"/>
      <c r="B5" s="11" t="s">
        <v>202</v>
      </c>
      <c r="C5" s="11" t="s">
        <v>203</v>
      </c>
      <c r="D5" s="11" t="s">
        <v>204</v>
      </c>
      <c r="E5" s="47">
        <v>150</v>
      </c>
      <c r="F5" s="618"/>
      <c r="G5" s="589">
        <v>150</v>
      </c>
      <c r="H5" s="571">
        <f t="shared" si="0"/>
        <v>0</v>
      </c>
    </row>
    <row r="6" spans="1:8" ht="14.25" x14ac:dyDescent="0.2">
      <c r="A6" s="476" t="s">
        <v>511</v>
      </c>
      <c r="B6" s="18" t="s">
        <v>211</v>
      </c>
      <c r="C6" s="19"/>
      <c r="D6" s="30"/>
      <c r="E6" s="53">
        <f>'Parab Camarones'!E208</f>
        <v>7.7419200000000004</v>
      </c>
      <c r="F6" s="618" t="s">
        <v>15</v>
      </c>
      <c r="G6" s="620">
        <f>'[1]Parab Tilapias '!E184</f>
        <v>7.7419200000000004</v>
      </c>
      <c r="H6" s="571">
        <f t="shared" si="0"/>
        <v>0</v>
      </c>
    </row>
    <row r="7" spans="1:8" ht="14.25" x14ac:dyDescent="0.2">
      <c r="A7" s="146"/>
      <c r="B7" s="482" t="s">
        <v>27</v>
      </c>
      <c r="C7" s="480"/>
      <c r="D7" s="637"/>
      <c r="E7" s="467">
        <f>2+0.7+0.9+4.5</f>
        <v>8.1</v>
      </c>
      <c r="F7" s="482" t="s">
        <v>6</v>
      </c>
      <c r="G7" s="620">
        <f>2+0.7+0.9+4.5</f>
        <v>8.1</v>
      </c>
      <c r="H7" s="571">
        <f t="shared" si="0"/>
        <v>0</v>
      </c>
    </row>
    <row r="8" spans="1:8" ht="14.25" x14ac:dyDescent="0.2">
      <c r="A8" s="146"/>
      <c r="B8" s="483" t="s">
        <v>71</v>
      </c>
      <c r="C8" s="480"/>
      <c r="D8" s="637"/>
      <c r="E8" s="467">
        <v>2.5</v>
      </c>
      <c r="F8" s="483" t="s">
        <v>25</v>
      </c>
      <c r="G8" s="620">
        <v>2.5</v>
      </c>
      <c r="H8" s="571">
        <f t="shared" si="0"/>
        <v>0</v>
      </c>
    </row>
    <row r="9" spans="1:8" ht="14.25" x14ac:dyDescent="0.2">
      <c r="A9" s="146"/>
      <c r="B9" s="440" t="s">
        <v>205</v>
      </c>
      <c r="C9" s="183"/>
      <c r="D9" s="30"/>
      <c r="E9" s="262">
        <f>0.001*E6/(0.25*3.14*(0.0254*E8)^2)</f>
        <v>2.4458598726114649</v>
      </c>
      <c r="F9" s="11" t="s">
        <v>4</v>
      </c>
      <c r="G9" s="622">
        <f>0.001*G6/(0.25*3.14*(0.0254*G8)^2)</f>
        <v>2.4458598726114649</v>
      </c>
      <c r="H9" s="571">
        <f t="shared" si="0"/>
        <v>0</v>
      </c>
    </row>
    <row r="10" spans="1:8" ht="14.25" x14ac:dyDescent="0.2">
      <c r="A10" s="476" t="s">
        <v>431</v>
      </c>
      <c r="B10" s="477" t="s">
        <v>29</v>
      </c>
      <c r="C10" s="264"/>
      <c r="D10" s="30"/>
      <c r="E10" s="221">
        <f>(10.672*E7*(0.001*E6/E5)^1.852)/(0.0254*E8)^4.871</f>
        <v>0.67366930836538153</v>
      </c>
      <c r="F10" s="312" t="s">
        <v>2</v>
      </c>
      <c r="G10" s="623">
        <f>(10.672*G7*(0.001*G6/G5)^1.852)/(0.0254*G8)^4.871</f>
        <v>0.67366930836538153</v>
      </c>
      <c r="H10" s="571">
        <f t="shared" si="0"/>
        <v>0</v>
      </c>
    </row>
    <row r="11" spans="1:8" ht="14.25" x14ac:dyDescent="0.2">
      <c r="A11" s="146"/>
      <c r="B11" s="440" t="s">
        <v>26</v>
      </c>
      <c r="C11" s="183"/>
      <c r="D11" s="30"/>
      <c r="E11" s="262">
        <f>E9^2/19.6</f>
        <v>0.30521584267606994</v>
      </c>
      <c r="F11" s="11" t="s">
        <v>2</v>
      </c>
      <c r="G11" s="622">
        <f>G9^2/19.6</f>
        <v>0.30521584267606994</v>
      </c>
      <c r="H11" s="571">
        <f t="shared" si="0"/>
        <v>0</v>
      </c>
    </row>
    <row r="12" spans="1:8" ht="25.5" x14ac:dyDescent="0.2">
      <c r="A12" s="146"/>
      <c r="B12" s="478" t="s">
        <v>30</v>
      </c>
      <c r="C12" s="851" t="s">
        <v>206</v>
      </c>
      <c r="D12" s="848" t="s">
        <v>207</v>
      </c>
      <c r="E12" s="852" t="s">
        <v>510</v>
      </c>
      <c r="F12" s="30"/>
      <c r="G12" s="633" t="s">
        <v>512</v>
      </c>
      <c r="H12" s="571"/>
    </row>
    <row r="13" spans="1:8" ht="14.25" x14ac:dyDescent="0.2">
      <c r="A13" s="476" t="s">
        <v>513</v>
      </c>
      <c r="B13" s="11" t="s">
        <v>242</v>
      </c>
      <c r="C13" s="474">
        <v>1.48</v>
      </c>
      <c r="D13" s="475">
        <v>1</v>
      </c>
      <c r="E13" s="53">
        <f>C13*D13*E11</f>
        <v>0.45171944716058349</v>
      </c>
      <c r="F13" s="617"/>
      <c r="G13" s="620">
        <f>C13*D13*$G$11</f>
        <v>0.45171944716058349</v>
      </c>
      <c r="H13" s="571">
        <f t="shared" si="0"/>
        <v>0</v>
      </c>
    </row>
    <row r="14" spans="1:8" ht="14.25" x14ac:dyDescent="0.2">
      <c r="A14" s="476" t="s">
        <v>430</v>
      </c>
      <c r="B14" s="11" t="s">
        <v>210</v>
      </c>
      <c r="C14" s="474">
        <v>0.9</v>
      </c>
      <c r="D14" s="475">
        <v>2</v>
      </c>
      <c r="E14" s="53">
        <f>C14*D14*E11</f>
        <v>0.54938851681692591</v>
      </c>
      <c r="F14" s="617"/>
      <c r="G14" s="620">
        <f t="shared" ref="G14:G15" si="1">C14*D14*$G$11</f>
        <v>0.54938851681692591</v>
      </c>
      <c r="H14" s="571">
        <f t="shared" si="0"/>
        <v>0</v>
      </c>
    </row>
    <row r="15" spans="1:8" ht="14.25" x14ac:dyDescent="0.2">
      <c r="A15" s="476" t="s">
        <v>430</v>
      </c>
      <c r="B15" s="11" t="s">
        <v>241</v>
      </c>
      <c r="C15" s="474">
        <v>1.8</v>
      </c>
      <c r="D15" s="475">
        <v>1</v>
      </c>
      <c r="E15" s="53">
        <f>C15*D15*E11</f>
        <v>0.54938851681692591</v>
      </c>
      <c r="F15" s="617"/>
      <c r="G15" s="620">
        <f t="shared" si="1"/>
        <v>0.54938851681692591</v>
      </c>
      <c r="H15" s="571">
        <f t="shared" si="0"/>
        <v>0</v>
      </c>
    </row>
    <row r="16" spans="1:8" ht="15.75" x14ac:dyDescent="0.25">
      <c r="A16" s="146"/>
      <c r="B16" s="636" t="s">
        <v>293</v>
      </c>
      <c r="C16" s="158" t="s">
        <v>201</v>
      </c>
      <c r="D16" s="615"/>
      <c r="E16" s="616">
        <f>E22+E25</f>
        <v>0.65297522856825085</v>
      </c>
      <c r="F16" s="617" t="s">
        <v>2</v>
      </c>
      <c r="G16" s="612">
        <f>G22+G25</f>
        <v>0.65297522856825085</v>
      </c>
      <c r="H16" s="571">
        <f t="shared" si="0"/>
        <v>0</v>
      </c>
    </row>
    <row r="17" spans="1:8" ht="18.75" x14ac:dyDescent="0.35">
      <c r="A17" s="146"/>
      <c r="B17" s="11" t="s">
        <v>202</v>
      </c>
      <c r="C17" s="11" t="s">
        <v>203</v>
      </c>
      <c r="D17" s="11" t="s">
        <v>204</v>
      </c>
      <c r="E17" s="47">
        <v>150</v>
      </c>
      <c r="F17" s="618"/>
      <c r="G17" s="589">
        <v>150</v>
      </c>
      <c r="H17" s="571">
        <f t="shared" si="0"/>
        <v>0</v>
      </c>
    </row>
    <row r="18" spans="1:8" ht="14.25" x14ac:dyDescent="0.2">
      <c r="A18" s="146"/>
      <c r="B18" s="18" t="s">
        <v>86</v>
      </c>
      <c r="C18" s="19"/>
      <c r="D18" s="30"/>
      <c r="E18" s="53">
        <f>E6/2</f>
        <v>3.8709600000000002</v>
      </c>
      <c r="F18" s="618" t="s">
        <v>15</v>
      </c>
      <c r="G18" s="620">
        <f>G6/2</f>
        <v>3.8709600000000002</v>
      </c>
      <c r="H18" s="571">
        <f t="shared" si="0"/>
        <v>0</v>
      </c>
    </row>
    <row r="19" spans="1:8" ht="14.25" x14ac:dyDescent="0.2">
      <c r="A19" s="146"/>
      <c r="B19" s="6" t="s">
        <v>27</v>
      </c>
      <c r="C19" s="19"/>
      <c r="D19" s="30"/>
      <c r="E19" s="53">
        <f>4.1+0.25+0.3</f>
        <v>4.6499999999999995</v>
      </c>
      <c r="F19" s="6" t="s">
        <v>6</v>
      </c>
      <c r="G19" s="620">
        <f>4.1+0.25+0.3</f>
        <v>4.6499999999999995</v>
      </c>
      <c r="H19" s="571">
        <f t="shared" si="0"/>
        <v>0</v>
      </c>
    </row>
    <row r="20" spans="1:8" ht="14.25" x14ac:dyDescent="0.2">
      <c r="A20" s="476" t="s">
        <v>525</v>
      </c>
      <c r="B20" s="483" t="s">
        <v>71</v>
      </c>
      <c r="C20" s="480"/>
      <c r="D20" s="637"/>
      <c r="E20" s="467">
        <v>2</v>
      </c>
      <c r="F20" s="483" t="s">
        <v>25</v>
      </c>
      <c r="G20" s="620">
        <v>2</v>
      </c>
      <c r="H20" s="571">
        <f t="shared" si="0"/>
        <v>0</v>
      </c>
    </row>
    <row r="21" spans="1:8" ht="14.25" x14ac:dyDescent="0.2">
      <c r="A21" s="146"/>
      <c r="B21" s="440" t="s">
        <v>205</v>
      </c>
      <c r="C21" s="183"/>
      <c r="D21" s="30"/>
      <c r="E21" s="262">
        <f>0.001*E18/(0.25*3.14*(0.0254*E20)^2)</f>
        <v>1.9108280254777072</v>
      </c>
      <c r="F21" s="11" t="s">
        <v>4</v>
      </c>
      <c r="G21" s="622">
        <f>0.001*G18/(0.25*3.14*(0.0254*G20)^2)</f>
        <v>1.9108280254777072</v>
      </c>
      <c r="H21" s="571">
        <f t="shared" si="0"/>
        <v>0</v>
      </c>
    </row>
    <row r="22" spans="1:8" ht="14.25" x14ac:dyDescent="0.2">
      <c r="A22" s="476" t="s">
        <v>431</v>
      </c>
      <c r="B22" s="477" t="s">
        <v>29</v>
      </c>
      <c r="C22" s="264"/>
      <c r="D22" s="30"/>
      <c r="E22" s="221">
        <f>(10.672*E19*(0.001*E18/E17)^1.852)/(0.0254*E20)^4.871</f>
        <v>0.31765508890948252</v>
      </c>
      <c r="F22" s="312" t="s">
        <v>2</v>
      </c>
      <c r="G22" s="623">
        <f>(10.672*G19*(0.001*G18/G17)^1.852)/(0.0254*G20)^4.871</f>
        <v>0.31765508890948252</v>
      </c>
      <c r="H22" s="571">
        <f t="shared" si="0"/>
        <v>0</v>
      </c>
    </row>
    <row r="23" spans="1:8" ht="14.25" x14ac:dyDescent="0.2">
      <c r="A23" s="146"/>
      <c r="B23" s="440" t="s">
        <v>26</v>
      </c>
      <c r="C23" s="183"/>
      <c r="D23" s="30"/>
      <c r="E23" s="262">
        <f>E21^2/19.6</f>
        <v>0.18628896647709353</v>
      </c>
      <c r="F23" s="11" t="s">
        <v>2</v>
      </c>
      <c r="G23" s="622">
        <f>G21^2/19.6</f>
        <v>0.18628896647709353</v>
      </c>
      <c r="H23" s="571">
        <f t="shared" si="0"/>
        <v>0</v>
      </c>
    </row>
    <row r="24" spans="1:8" ht="25.5" x14ac:dyDescent="0.2">
      <c r="A24" s="146"/>
      <c r="B24" s="478" t="s">
        <v>30</v>
      </c>
      <c r="C24" s="851" t="s">
        <v>206</v>
      </c>
      <c r="D24" s="848" t="s">
        <v>207</v>
      </c>
      <c r="E24" s="852" t="s">
        <v>510</v>
      </c>
      <c r="F24" s="30"/>
      <c r="G24" s="633" t="s">
        <v>512</v>
      </c>
      <c r="H24" s="571"/>
    </row>
    <row r="25" spans="1:8" ht="14.25" x14ac:dyDescent="0.2">
      <c r="A25" s="476" t="s">
        <v>430</v>
      </c>
      <c r="B25" s="11" t="s">
        <v>210</v>
      </c>
      <c r="C25" s="474">
        <v>0.9</v>
      </c>
      <c r="D25" s="475">
        <v>2</v>
      </c>
      <c r="E25" s="53">
        <f>C25*D25*E23</f>
        <v>0.33532013965876839</v>
      </c>
      <c r="F25" s="617" t="s">
        <v>2</v>
      </c>
      <c r="G25" s="620">
        <f>C25*D25*G23</f>
        <v>0.33532013965876839</v>
      </c>
      <c r="H25" s="571">
        <f t="shared" si="0"/>
        <v>0</v>
      </c>
    </row>
    <row r="26" spans="1:8" ht="15" customHeight="1" x14ac:dyDescent="0.25">
      <c r="A26" s="146"/>
      <c r="B26" s="30"/>
      <c r="C26" s="605" t="s">
        <v>300</v>
      </c>
      <c r="D26" s="30"/>
      <c r="E26" s="30"/>
      <c r="F26" s="30"/>
      <c r="G26" s="604"/>
      <c r="H26" s="571">
        <f t="shared" ref="H26:H59" si="2">G26-E26</f>
        <v>0</v>
      </c>
    </row>
    <row r="27" spans="1:8" ht="15" customHeight="1" x14ac:dyDescent="0.25">
      <c r="A27" s="146"/>
      <c r="B27" s="635" t="s">
        <v>199</v>
      </c>
      <c r="C27" s="608"/>
      <c r="D27" s="609"/>
      <c r="E27" s="610">
        <f>E28+E39+E59</f>
        <v>2.470033196816054</v>
      </c>
      <c r="F27" s="611" t="s">
        <v>2</v>
      </c>
      <c r="G27" s="612">
        <f>G28+G39+G59</f>
        <v>2.4700345927113441</v>
      </c>
      <c r="H27" s="571">
        <f t="shared" si="2"/>
        <v>1.3958952900239296E-6</v>
      </c>
    </row>
    <row r="28" spans="1:8" ht="15" customHeight="1" x14ac:dyDescent="0.25">
      <c r="A28" s="146"/>
      <c r="B28" s="636" t="s">
        <v>294</v>
      </c>
      <c r="C28" s="158" t="s">
        <v>201</v>
      </c>
      <c r="D28" s="615"/>
      <c r="E28" s="616">
        <f>E34+SUM(E37:E38)</f>
        <v>0.43170175409217781</v>
      </c>
      <c r="F28" s="617" t="s">
        <v>2</v>
      </c>
      <c r="G28" s="612">
        <f>G34+SUM(G37:G38)</f>
        <v>0.43170314998746778</v>
      </c>
      <c r="H28" s="571">
        <f t="shared" si="2"/>
        <v>1.3958952899684185E-6</v>
      </c>
    </row>
    <row r="29" spans="1:8" ht="15" customHeight="1" x14ac:dyDescent="0.35">
      <c r="A29" s="146"/>
      <c r="B29" s="11" t="s">
        <v>202</v>
      </c>
      <c r="C29" s="11" t="s">
        <v>203</v>
      </c>
      <c r="D29" s="11" t="s">
        <v>204</v>
      </c>
      <c r="E29" s="47">
        <v>150</v>
      </c>
      <c r="F29" s="618"/>
      <c r="G29" s="589">
        <v>150</v>
      </c>
      <c r="H29" s="571">
        <f t="shared" si="2"/>
        <v>0</v>
      </c>
    </row>
    <row r="30" spans="1:8" ht="15" customHeight="1" x14ac:dyDescent="0.2">
      <c r="A30" s="476" t="s">
        <v>511</v>
      </c>
      <c r="B30" s="18" t="s">
        <v>211</v>
      </c>
      <c r="C30" s="19"/>
      <c r="D30" s="30"/>
      <c r="E30" s="53">
        <f>'Parab Camarones'!E158</f>
        <v>6.8218291985712405</v>
      </c>
      <c r="F30" s="618" t="s">
        <v>15</v>
      </c>
      <c r="G30" s="620">
        <f>'Parab Camarones'!G158</f>
        <v>6.8218403361913982</v>
      </c>
      <c r="H30" s="571">
        <f t="shared" si="2"/>
        <v>1.113762015769737E-5</v>
      </c>
    </row>
    <row r="31" spans="1:8" ht="15" customHeight="1" x14ac:dyDescent="0.2">
      <c r="A31" s="146"/>
      <c r="B31" s="482" t="s">
        <v>27</v>
      </c>
      <c r="C31" s="480"/>
      <c r="D31" s="637"/>
      <c r="E31" s="467">
        <v>2.1</v>
      </c>
      <c r="F31" s="482" t="s">
        <v>6</v>
      </c>
      <c r="G31" s="620">
        <v>2.1</v>
      </c>
      <c r="H31" s="571">
        <f t="shared" si="2"/>
        <v>0</v>
      </c>
    </row>
    <row r="32" spans="1:8" ht="15" customHeight="1" x14ac:dyDescent="0.2">
      <c r="A32" s="782" t="s">
        <v>525</v>
      </c>
      <c r="B32" s="483" t="s">
        <v>71</v>
      </c>
      <c r="C32" s="480"/>
      <c r="D32" s="637"/>
      <c r="E32" s="467">
        <v>3</v>
      </c>
      <c r="F32" s="483" t="s">
        <v>25</v>
      </c>
      <c r="G32" s="620">
        <v>3</v>
      </c>
      <c r="H32" s="571">
        <f t="shared" si="2"/>
        <v>0</v>
      </c>
    </row>
    <row r="33" spans="1:8" ht="15" customHeight="1" x14ac:dyDescent="0.2">
      <c r="A33" s="146"/>
      <c r="B33" s="440" t="s">
        <v>205</v>
      </c>
      <c r="C33" s="183"/>
      <c r="D33" s="30"/>
      <c r="E33" s="262">
        <f>0.001*E30/(0.25*3.14*(0.0254*E32)^2)</f>
        <v>1.4966534190372591</v>
      </c>
      <c r="F33" s="11" t="s">
        <v>4</v>
      </c>
      <c r="G33" s="622">
        <f>0.001*G30/(0.25*3.14*(0.0254*G32)^2)</f>
        <v>1.4966558625398452</v>
      </c>
      <c r="H33" s="571">
        <f t="shared" si="2"/>
        <v>2.443502586046975E-6</v>
      </c>
    </row>
    <row r="34" spans="1:8" ht="15" customHeight="1" x14ac:dyDescent="0.2">
      <c r="A34" s="476" t="s">
        <v>431</v>
      </c>
      <c r="B34" s="477" t="s">
        <v>29</v>
      </c>
      <c r="C34" s="264"/>
      <c r="D34" s="30"/>
      <c r="E34" s="221">
        <f>(10.672*E31*(0.001*E30/E29)^1.852)/(0.0254*E32)^4.871</f>
        <v>5.6849387866248727E-2</v>
      </c>
      <c r="F34" s="312" t="s">
        <v>2</v>
      </c>
      <c r="G34" s="623">
        <f>(10.672*G31*(0.001*G30/G29)^1.852)/(0.0254*G32)^4.871</f>
        <v>5.6849559759425343E-2</v>
      </c>
      <c r="H34" s="571">
        <f t="shared" si="2"/>
        <v>1.7189317661620018E-7</v>
      </c>
    </row>
    <row r="35" spans="1:8" ht="15" customHeight="1" x14ac:dyDescent="0.2">
      <c r="A35" s="146"/>
      <c r="B35" s="440" t="s">
        <v>26</v>
      </c>
      <c r="C35" s="183"/>
      <c r="D35" s="30"/>
      <c r="E35" s="262">
        <f>E33^2/19.6</f>
        <v>0.11428425799571008</v>
      </c>
      <c r="F35" s="11" t="s">
        <v>2</v>
      </c>
      <c r="G35" s="622">
        <f>G33^2/19.6</f>
        <v>0.11428463116708611</v>
      </c>
      <c r="H35" s="571">
        <f t="shared" si="2"/>
        <v>3.7317137602244088E-7</v>
      </c>
    </row>
    <row r="36" spans="1:8" ht="15" customHeight="1" x14ac:dyDescent="0.2">
      <c r="A36" s="146"/>
      <c r="B36" s="478" t="s">
        <v>30</v>
      </c>
      <c r="C36" s="754" t="s">
        <v>206</v>
      </c>
      <c r="D36" s="754" t="s">
        <v>207</v>
      </c>
      <c r="E36" s="752" t="s">
        <v>201</v>
      </c>
      <c r="F36" s="617"/>
      <c r="G36" s="633" t="s">
        <v>512</v>
      </c>
      <c r="H36" s="571"/>
    </row>
    <row r="37" spans="1:8" ht="15" customHeight="1" x14ac:dyDescent="0.2">
      <c r="A37" s="476" t="s">
        <v>513</v>
      </c>
      <c r="B37" s="11" t="s">
        <v>242</v>
      </c>
      <c r="C37" s="474">
        <v>1.48</v>
      </c>
      <c r="D37" s="475">
        <v>1</v>
      </c>
      <c r="E37" s="753">
        <f>C37*D37*E35</f>
        <v>0.16914070183365093</v>
      </c>
      <c r="F37" s="617" t="s">
        <v>2</v>
      </c>
      <c r="G37" s="620">
        <f>C37*D37*$G$35</f>
        <v>0.16914125412728745</v>
      </c>
      <c r="H37" s="571">
        <f t="shared" si="2"/>
        <v>5.5229363651876362E-7</v>
      </c>
    </row>
    <row r="38" spans="1:8" ht="15" customHeight="1" x14ac:dyDescent="0.2">
      <c r="A38" s="476" t="s">
        <v>430</v>
      </c>
      <c r="B38" s="11" t="s">
        <v>210</v>
      </c>
      <c r="C38" s="474">
        <v>0.9</v>
      </c>
      <c r="D38" s="475">
        <v>2</v>
      </c>
      <c r="E38" s="53">
        <f>C38*D38*E35</f>
        <v>0.20571166439227814</v>
      </c>
      <c r="F38" s="617" t="s">
        <v>2</v>
      </c>
      <c r="G38" s="620">
        <f>C38*D38*$G$35</f>
        <v>0.20571233610075498</v>
      </c>
      <c r="H38" s="571">
        <f t="shared" si="2"/>
        <v>6.7170847684039359E-7</v>
      </c>
    </row>
    <row r="39" spans="1:8" ht="15" customHeight="1" x14ac:dyDescent="0.25">
      <c r="A39" s="146"/>
      <c r="B39" s="636" t="s">
        <v>292</v>
      </c>
      <c r="C39" s="158" t="s">
        <v>201</v>
      </c>
      <c r="D39" s="615"/>
      <c r="E39" s="616">
        <f>E45+SUM(E48:E49)</f>
        <v>1.8025816725794415</v>
      </c>
      <c r="F39" s="617" t="s">
        <v>2</v>
      </c>
      <c r="G39" s="612">
        <f>G45+SUM(G48:G49)</f>
        <v>1.8025816725794415</v>
      </c>
      <c r="H39" s="571">
        <f t="shared" si="2"/>
        <v>0</v>
      </c>
    </row>
    <row r="40" spans="1:8" ht="15" customHeight="1" x14ac:dyDescent="0.35">
      <c r="A40" s="146"/>
      <c r="B40" s="11" t="s">
        <v>202</v>
      </c>
      <c r="C40" s="11" t="s">
        <v>203</v>
      </c>
      <c r="D40" s="11" t="s">
        <v>204</v>
      </c>
      <c r="E40" s="47">
        <v>150</v>
      </c>
      <c r="F40" s="618"/>
      <c r="G40" s="589">
        <v>150</v>
      </c>
      <c r="H40" s="571">
        <f t="shared" si="2"/>
        <v>0</v>
      </c>
    </row>
    <row r="41" spans="1:8" ht="15" customHeight="1" x14ac:dyDescent="0.2">
      <c r="A41" s="476" t="s">
        <v>511</v>
      </c>
      <c r="B41" s="18" t="s">
        <v>211</v>
      </c>
      <c r="C41" s="19"/>
      <c r="D41" s="30"/>
      <c r="E41" s="53">
        <f>'Parab Camarones'!E150</f>
        <v>5.4353895002544848</v>
      </c>
      <c r="F41" s="618" t="s">
        <v>15</v>
      </c>
      <c r="G41" s="53">
        <f>'Parab Camarones'!G150</f>
        <v>5.4353895002544848</v>
      </c>
      <c r="H41" s="571">
        <f t="shared" si="2"/>
        <v>0</v>
      </c>
    </row>
    <row r="42" spans="1:8" ht="15" customHeight="1" x14ac:dyDescent="0.2">
      <c r="A42" s="146"/>
      <c r="B42" s="482" t="s">
        <v>27</v>
      </c>
      <c r="C42" s="480"/>
      <c r="D42" s="637"/>
      <c r="E42" s="467">
        <f>1.3+1.7+0.75</f>
        <v>3.75</v>
      </c>
      <c r="F42" s="482" t="s">
        <v>6</v>
      </c>
      <c r="G42" s="620">
        <f>1.3+1.7+0.75</f>
        <v>3.75</v>
      </c>
      <c r="H42" s="571">
        <f t="shared" si="2"/>
        <v>0</v>
      </c>
    </row>
    <row r="43" spans="1:8" ht="15" customHeight="1" x14ac:dyDescent="0.2">
      <c r="A43" s="146"/>
      <c r="B43" s="483" t="s">
        <v>71</v>
      </c>
      <c r="C43" s="480"/>
      <c r="D43" s="637"/>
      <c r="E43" s="467">
        <v>2</v>
      </c>
      <c r="F43" s="483" t="s">
        <v>25</v>
      </c>
      <c r="G43" s="620">
        <v>2</v>
      </c>
      <c r="H43" s="571">
        <f t="shared" si="2"/>
        <v>0</v>
      </c>
    </row>
    <row r="44" spans="1:8" ht="15" customHeight="1" x14ac:dyDescent="0.2">
      <c r="A44" s="146"/>
      <c r="B44" s="440" t="s">
        <v>205</v>
      </c>
      <c r="C44" s="183"/>
      <c r="D44" s="30"/>
      <c r="E44" s="262">
        <f>0.001*E41/(0.25*3.14*(0.0254*E43)^2)</f>
        <v>2.6830798009985997</v>
      </c>
      <c r="F44" s="11" t="s">
        <v>4</v>
      </c>
      <c r="G44" s="622">
        <f>0.001*G41/(0.25*3.14*(0.0254*G43)^2)</f>
        <v>2.6830798009985997</v>
      </c>
      <c r="H44" s="571">
        <f t="shared" si="2"/>
        <v>0</v>
      </c>
    </row>
    <row r="45" spans="1:8" ht="15" customHeight="1" x14ac:dyDescent="0.2">
      <c r="A45" s="476" t="s">
        <v>431</v>
      </c>
      <c r="B45" s="477" t="s">
        <v>29</v>
      </c>
      <c r="C45" s="264"/>
      <c r="D45" s="30"/>
      <c r="E45" s="221">
        <f>(10.672*E42*(0.001*E41/E40)^1.852)/(0.0254*E43)^4.871</f>
        <v>0.48033157121739734</v>
      </c>
      <c r="F45" s="312" t="s">
        <v>2</v>
      </c>
      <c r="G45" s="623">
        <f>(10.672*G42*(0.001*G41/G40)^1.852)/(0.0254*G43)^4.871</f>
        <v>0.48033157121739734</v>
      </c>
      <c r="H45" s="571">
        <f t="shared" si="2"/>
        <v>0</v>
      </c>
    </row>
    <row r="46" spans="1:8" ht="15" customHeight="1" x14ac:dyDescent="0.2">
      <c r="A46" s="146"/>
      <c r="B46" s="440" t="s">
        <v>26</v>
      </c>
      <c r="C46" s="183"/>
      <c r="D46" s="30"/>
      <c r="E46" s="262">
        <f>E44^2/19.6</f>
        <v>0.36729169482279006</v>
      </c>
      <c r="F46" s="11" t="s">
        <v>2</v>
      </c>
      <c r="G46" s="622">
        <f>G44^2/19.6</f>
        <v>0.36729169482279006</v>
      </c>
      <c r="H46" s="571">
        <f t="shared" si="2"/>
        <v>0</v>
      </c>
    </row>
    <row r="47" spans="1:8" ht="15" customHeight="1" x14ac:dyDescent="0.2">
      <c r="A47" s="146"/>
      <c r="B47" s="478" t="s">
        <v>30</v>
      </c>
      <c r="C47" s="754" t="s">
        <v>206</v>
      </c>
      <c r="D47" s="754" t="s">
        <v>207</v>
      </c>
      <c r="E47" s="752" t="s">
        <v>201</v>
      </c>
      <c r="F47" s="617"/>
      <c r="G47" s="633" t="s">
        <v>512</v>
      </c>
      <c r="H47" s="571"/>
    </row>
    <row r="48" spans="1:8" ht="15" customHeight="1" x14ac:dyDescent="0.2">
      <c r="A48" s="476" t="s">
        <v>430</v>
      </c>
      <c r="B48" s="11" t="s">
        <v>210</v>
      </c>
      <c r="C48" s="474">
        <v>0.9</v>
      </c>
      <c r="D48" s="475">
        <v>2</v>
      </c>
      <c r="E48" s="53">
        <f>C48*D48*E46</f>
        <v>0.66112505068102212</v>
      </c>
      <c r="F48" s="617" t="s">
        <v>2</v>
      </c>
      <c r="G48" s="620">
        <f>C48*D48*$G$46</f>
        <v>0.66112505068102212</v>
      </c>
      <c r="H48" s="571">
        <f t="shared" si="2"/>
        <v>0</v>
      </c>
    </row>
    <row r="49" spans="1:8" ht="15" customHeight="1" x14ac:dyDescent="0.2">
      <c r="A49" s="476" t="s">
        <v>430</v>
      </c>
      <c r="B49" s="11" t="s">
        <v>241</v>
      </c>
      <c r="C49" s="474">
        <v>1.8</v>
      </c>
      <c r="D49" s="475">
        <v>1</v>
      </c>
      <c r="E49" s="53">
        <f>C49*D49*E46</f>
        <v>0.66112505068102212</v>
      </c>
      <c r="F49" s="617" t="s">
        <v>2</v>
      </c>
      <c r="G49" s="620">
        <f>C49*D49*$G$46</f>
        <v>0.66112505068102212</v>
      </c>
      <c r="H49" s="571">
        <f t="shared" si="2"/>
        <v>0</v>
      </c>
    </row>
    <row r="50" spans="1:8" ht="15" customHeight="1" x14ac:dyDescent="0.25">
      <c r="A50" s="146"/>
      <c r="B50" s="600" t="s">
        <v>299</v>
      </c>
      <c r="C50" s="601"/>
      <c r="D50" s="601"/>
      <c r="E50" s="601"/>
      <c r="G50" s="638"/>
      <c r="H50" s="571">
        <f t="shared" si="2"/>
        <v>0</v>
      </c>
    </row>
    <row r="51" spans="1:8" ht="15" customHeight="1" x14ac:dyDescent="0.35">
      <c r="A51" s="146"/>
      <c r="B51" s="11" t="s">
        <v>202</v>
      </c>
      <c r="C51" s="11" t="s">
        <v>203</v>
      </c>
      <c r="D51" s="11" t="s">
        <v>204</v>
      </c>
      <c r="E51" s="47">
        <v>150</v>
      </c>
      <c r="F51" s="618"/>
      <c r="G51" s="589">
        <v>150</v>
      </c>
      <c r="H51" s="571">
        <f t="shared" si="2"/>
        <v>0</v>
      </c>
    </row>
    <row r="52" spans="1:8" ht="15" customHeight="1" x14ac:dyDescent="0.2">
      <c r="A52" s="146"/>
      <c r="B52" s="236" t="s">
        <v>298</v>
      </c>
      <c r="C52" s="19"/>
      <c r="D52" s="19"/>
      <c r="E52" s="64">
        <f>E41</f>
        <v>5.4353895002544848</v>
      </c>
      <c r="F52" s="6" t="s">
        <v>15</v>
      </c>
      <c r="G52" s="590">
        <f>G41</f>
        <v>5.4353895002544848</v>
      </c>
      <c r="H52" s="571">
        <f t="shared" si="2"/>
        <v>0</v>
      </c>
    </row>
    <row r="53" spans="1:8" ht="15" customHeight="1" x14ac:dyDescent="0.2">
      <c r="A53" s="782" t="s">
        <v>525</v>
      </c>
      <c r="B53" s="483" t="s">
        <v>71</v>
      </c>
      <c r="C53" s="480"/>
      <c r="D53" s="480"/>
      <c r="E53" s="639">
        <v>2</v>
      </c>
      <c r="F53" s="483" t="s">
        <v>25</v>
      </c>
      <c r="G53" s="588">
        <v>2</v>
      </c>
      <c r="H53" s="571">
        <f t="shared" si="2"/>
        <v>0</v>
      </c>
    </row>
    <row r="54" spans="1:8" ht="15" customHeight="1" x14ac:dyDescent="0.2">
      <c r="A54" s="146"/>
      <c r="B54" s="21" t="s">
        <v>302</v>
      </c>
      <c r="C54" s="19"/>
      <c r="D54" s="19"/>
      <c r="E54" s="640">
        <f>(3.14*(0.0254*E53)^2)/4</f>
        <v>2.0258023999999999E-3</v>
      </c>
      <c r="F54" s="21" t="s">
        <v>3</v>
      </c>
      <c r="G54" s="641">
        <f>(3.14*(0.0254*G53)^2)/4</f>
        <v>2.0258023999999999E-3</v>
      </c>
      <c r="H54" s="571">
        <f t="shared" si="2"/>
        <v>0</v>
      </c>
    </row>
    <row r="55" spans="1:8" ht="15" customHeight="1" x14ac:dyDescent="0.2">
      <c r="A55" s="146"/>
      <c r="B55" s="642" t="s">
        <v>303</v>
      </c>
      <c r="C55" s="291"/>
      <c r="D55" s="291"/>
      <c r="E55" s="643">
        <v>6</v>
      </c>
      <c r="F55" s="481" t="s">
        <v>7</v>
      </c>
      <c r="G55" s="644">
        <v>6</v>
      </c>
      <c r="H55" s="571">
        <f t="shared" si="2"/>
        <v>0</v>
      </c>
    </row>
    <row r="56" spans="1:8" ht="15" customHeight="1" x14ac:dyDescent="0.2">
      <c r="A56" s="146"/>
      <c r="B56" s="482" t="s">
        <v>295</v>
      </c>
      <c r="C56" s="480"/>
      <c r="D56" s="480"/>
      <c r="E56" s="467">
        <v>0.7</v>
      </c>
      <c r="F56" s="482" t="s">
        <v>2</v>
      </c>
      <c r="G56" s="620">
        <v>0.7</v>
      </c>
      <c r="H56" s="571">
        <f t="shared" si="2"/>
        <v>0</v>
      </c>
    </row>
    <row r="57" spans="1:8" ht="15" customHeight="1" x14ac:dyDescent="0.2">
      <c r="A57" s="146"/>
      <c r="B57" s="21" t="s">
        <v>296</v>
      </c>
      <c r="C57" s="19"/>
      <c r="E57" s="577">
        <f>E52/E55</f>
        <v>0.90589825004241409</v>
      </c>
      <c r="F57" s="21" t="s">
        <v>15</v>
      </c>
      <c r="G57" s="645">
        <f>G52/G55</f>
        <v>0.90589825004241409</v>
      </c>
      <c r="H57" s="571">
        <f t="shared" si="2"/>
        <v>0</v>
      </c>
    </row>
    <row r="58" spans="1:8" ht="15" customHeight="1" x14ac:dyDescent="0.2">
      <c r="A58" s="146"/>
      <c r="B58" s="11" t="s">
        <v>304</v>
      </c>
      <c r="D58" s="19" t="s">
        <v>301</v>
      </c>
      <c r="E58" s="577">
        <v>0.03</v>
      </c>
      <c r="F58" s="21"/>
      <c r="G58" s="645">
        <v>0.03</v>
      </c>
      <c r="H58" s="571">
        <f t="shared" si="2"/>
        <v>0</v>
      </c>
    </row>
    <row r="59" spans="1:8" ht="15" customHeight="1" x14ac:dyDescent="0.2">
      <c r="A59" s="146"/>
      <c r="B59" s="477" t="s">
        <v>290</v>
      </c>
      <c r="C59" s="264"/>
      <c r="D59" s="264"/>
      <c r="E59" s="577">
        <f>SUM(E62:E74)</f>
        <v>0.23574977014443485</v>
      </c>
      <c r="F59" s="312" t="s">
        <v>2</v>
      </c>
      <c r="G59" s="645">
        <f>SUM(G62:G74)</f>
        <v>0.23574977014443485</v>
      </c>
      <c r="H59" s="571">
        <f t="shared" si="2"/>
        <v>0</v>
      </c>
    </row>
    <row r="60" spans="1:8" ht="14.25" x14ac:dyDescent="0.2">
      <c r="B60" s="599" t="s">
        <v>297</v>
      </c>
      <c r="C60" s="599" t="s">
        <v>514</v>
      </c>
      <c r="D60" s="599" t="s">
        <v>515</v>
      </c>
      <c r="E60" s="599" t="s">
        <v>516</v>
      </c>
      <c r="F60" s="140"/>
      <c r="G60" s="646" t="s">
        <v>516</v>
      </c>
      <c r="H60" s="599"/>
    </row>
    <row r="61" spans="1:8" ht="14.25" x14ac:dyDescent="0.2">
      <c r="B61" s="647"/>
      <c r="C61" s="647" t="s">
        <v>25</v>
      </c>
      <c r="D61" s="647" t="s">
        <v>15</v>
      </c>
      <c r="E61" s="647" t="s">
        <v>2</v>
      </c>
      <c r="F61" s="140"/>
      <c r="G61" s="648" t="s">
        <v>2</v>
      </c>
      <c r="H61" s="647"/>
    </row>
    <row r="62" spans="1:8" ht="14.25" x14ac:dyDescent="0.2">
      <c r="B62" s="649">
        <v>1</v>
      </c>
      <c r="C62" s="650">
        <v>2</v>
      </c>
      <c r="D62" s="650">
        <f>E52</f>
        <v>5.4353895002544848</v>
      </c>
      <c r="E62" s="305">
        <f>(10.672*$E$56*(0.001*D62/$E$51)^1.852)/(0.0254*C62)^4.871</f>
        <v>8.9661893293914163E-2</v>
      </c>
      <c r="F62" s="159"/>
      <c r="G62" s="651">
        <f>(10.672*$G$56*(0.001*D62/$G$51)^1.852)/(0.0254*C62)^4.871</f>
        <v>8.9661893293914163E-2</v>
      </c>
      <c r="H62" s="571">
        <f t="shared" ref="H62:H74" si="3">G62-E62</f>
        <v>0</v>
      </c>
    </row>
    <row r="63" spans="1:8" ht="14.25" x14ac:dyDescent="0.2">
      <c r="B63" s="649">
        <f>B62+1</f>
        <v>2</v>
      </c>
      <c r="C63" s="650">
        <v>2</v>
      </c>
      <c r="D63" s="650">
        <f>MAX(0,D62-$E$57)</f>
        <v>4.5294912502120708</v>
      </c>
      <c r="E63" s="305">
        <f t="shared" ref="E63:E74" si="4">(10.672*$E$56*(0.001*D63/$E$51)^1.852)/(0.0254*C63)^4.871</f>
        <v>6.3968215788477445E-2</v>
      </c>
      <c r="F63" s="159"/>
      <c r="G63" s="651">
        <f t="shared" ref="G63:G74" si="5">(10.672*$G$56*(0.001*D63/$G$51)^1.852)/(0.0254*C63)^4.871</f>
        <v>6.3968215788477445E-2</v>
      </c>
      <c r="H63" s="571">
        <f t="shared" si="3"/>
        <v>0</v>
      </c>
    </row>
    <row r="64" spans="1:8" ht="14.25" x14ac:dyDescent="0.2">
      <c r="B64" s="649">
        <f t="shared" ref="B64:B74" si="6">B63+1</f>
        <v>3</v>
      </c>
      <c r="C64" s="650">
        <v>2</v>
      </c>
      <c r="D64" s="650">
        <f t="shared" ref="D64:D74" si="7">MAX(0,D63-$E$57)</f>
        <v>3.6235930001696568</v>
      </c>
      <c r="E64" s="305">
        <f t="shared" si="4"/>
        <v>4.2314273945907852E-2</v>
      </c>
      <c r="F64" s="140"/>
      <c r="G64" s="651">
        <f t="shared" si="5"/>
        <v>4.2314273945907852E-2</v>
      </c>
      <c r="H64" s="571">
        <f t="shared" si="3"/>
        <v>0</v>
      </c>
    </row>
    <row r="65" spans="2:8" ht="14.25" x14ac:dyDescent="0.2">
      <c r="B65" s="649">
        <f t="shared" si="6"/>
        <v>4</v>
      </c>
      <c r="C65" s="650">
        <v>2</v>
      </c>
      <c r="D65" s="650">
        <f t="shared" si="7"/>
        <v>2.7176947501272428</v>
      </c>
      <c r="E65" s="305">
        <f t="shared" si="4"/>
        <v>2.4837069535117561E-2</v>
      </c>
      <c r="F65" s="140"/>
      <c r="G65" s="651">
        <f t="shared" si="5"/>
        <v>2.4837069535117561E-2</v>
      </c>
      <c r="H65" s="571">
        <f t="shared" si="3"/>
        <v>0</v>
      </c>
    </row>
    <row r="66" spans="2:8" ht="14.25" x14ac:dyDescent="0.2">
      <c r="B66" s="649">
        <f t="shared" si="6"/>
        <v>5</v>
      </c>
      <c r="C66" s="650">
        <v>2</v>
      </c>
      <c r="D66" s="650">
        <f t="shared" si="7"/>
        <v>1.8117965000848288</v>
      </c>
      <c r="E66" s="305">
        <f t="shared" si="4"/>
        <v>1.1721396077121032E-2</v>
      </c>
      <c r="F66" s="140"/>
      <c r="G66" s="651">
        <f t="shared" si="5"/>
        <v>1.1721396077121032E-2</v>
      </c>
      <c r="H66" s="571">
        <f t="shared" si="3"/>
        <v>0</v>
      </c>
    </row>
    <row r="67" spans="2:8" ht="14.25" x14ac:dyDescent="0.2">
      <c r="B67" s="649">
        <f t="shared" si="6"/>
        <v>6</v>
      </c>
      <c r="C67" s="650">
        <v>2</v>
      </c>
      <c r="D67" s="650">
        <f t="shared" si="7"/>
        <v>0.90589825004241475</v>
      </c>
      <c r="E67" s="305">
        <f t="shared" si="4"/>
        <v>3.2469215038967896E-3</v>
      </c>
      <c r="F67" s="140"/>
      <c r="G67" s="651">
        <f t="shared" si="5"/>
        <v>3.2469215038967896E-3</v>
      </c>
      <c r="H67" s="571">
        <f t="shared" si="3"/>
        <v>0</v>
      </c>
    </row>
    <row r="68" spans="2:8" ht="14.25" x14ac:dyDescent="0.2">
      <c r="B68" s="649">
        <f t="shared" si="6"/>
        <v>7</v>
      </c>
      <c r="C68" s="650">
        <v>2</v>
      </c>
      <c r="D68" s="650">
        <f t="shared" si="7"/>
        <v>6.6613381477509392E-16</v>
      </c>
      <c r="E68" s="305">
        <f t="shared" si="4"/>
        <v>3.0492747925680044E-31</v>
      </c>
      <c r="F68" s="140"/>
      <c r="G68" s="651">
        <f t="shared" si="5"/>
        <v>3.0492747925680044E-31</v>
      </c>
      <c r="H68" s="571">
        <f t="shared" si="3"/>
        <v>0</v>
      </c>
    </row>
    <row r="69" spans="2:8" ht="14.25" x14ac:dyDescent="0.2">
      <c r="B69" s="649">
        <f t="shared" si="6"/>
        <v>8</v>
      </c>
      <c r="C69" s="650">
        <v>2</v>
      </c>
      <c r="D69" s="650">
        <f t="shared" si="7"/>
        <v>0</v>
      </c>
      <c r="E69" s="305">
        <f t="shared" si="4"/>
        <v>0</v>
      </c>
      <c r="F69" s="140"/>
      <c r="G69" s="651">
        <f t="shared" si="5"/>
        <v>0</v>
      </c>
      <c r="H69" s="571">
        <f t="shared" si="3"/>
        <v>0</v>
      </c>
    </row>
    <row r="70" spans="2:8" ht="14.25" x14ac:dyDescent="0.2">
      <c r="B70" s="649">
        <f t="shared" si="6"/>
        <v>9</v>
      </c>
      <c r="C70" s="650">
        <v>2</v>
      </c>
      <c r="D70" s="650">
        <f t="shared" si="7"/>
        <v>0</v>
      </c>
      <c r="E70" s="305">
        <f t="shared" si="4"/>
        <v>0</v>
      </c>
      <c r="F70" s="140"/>
      <c r="G70" s="651">
        <f t="shared" si="5"/>
        <v>0</v>
      </c>
      <c r="H70" s="571">
        <f t="shared" si="3"/>
        <v>0</v>
      </c>
    </row>
    <row r="71" spans="2:8" ht="14.25" x14ac:dyDescent="0.2">
      <c r="B71" s="649">
        <f t="shared" si="6"/>
        <v>10</v>
      </c>
      <c r="C71" s="650">
        <v>2</v>
      </c>
      <c r="D71" s="650">
        <f t="shared" si="7"/>
        <v>0</v>
      </c>
      <c r="E71" s="305">
        <f t="shared" si="4"/>
        <v>0</v>
      </c>
      <c r="F71" s="140"/>
      <c r="G71" s="651">
        <f t="shared" si="5"/>
        <v>0</v>
      </c>
      <c r="H71" s="571">
        <f t="shared" si="3"/>
        <v>0</v>
      </c>
    </row>
    <row r="72" spans="2:8" ht="14.25" x14ac:dyDescent="0.2">
      <c r="B72" s="649">
        <f t="shared" si="6"/>
        <v>11</v>
      </c>
      <c r="C72" s="650">
        <v>2</v>
      </c>
      <c r="D72" s="650">
        <f t="shared" si="7"/>
        <v>0</v>
      </c>
      <c r="E72" s="305">
        <f t="shared" si="4"/>
        <v>0</v>
      </c>
      <c r="F72" s="140"/>
      <c r="G72" s="651">
        <f t="shared" si="5"/>
        <v>0</v>
      </c>
      <c r="H72" s="571">
        <f t="shared" si="3"/>
        <v>0</v>
      </c>
    </row>
    <row r="73" spans="2:8" ht="14.25" x14ac:dyDescent="0.2">
      <c r="B73" s="649">
        <f t="shared" si="6"/>
        <v>12</v>
      </c>
      <c r="C73" s="650">
        <v>2</v>
      </c>
      <c r="D73" s="650">
        <f t="shared" si="7"/>
        <v>0</v>
      </c>
      <c r="E73" s="305">
        <f t="shared" si="4"/>
        <v>0</v>
      </c>
      <c r="F73" s="140"/>
      <c r="G73" s="651">
        <f t="shared" si="5"/>
        <v>0</v>
      </c>
      <c r="H73" s="571">
        <f t="shared" si="3"/>
        <v>0</v>
      </c>
    </row>
    <row r="74" spans="2:8" ht="14.25" x14ac:dyDescent="0.2">
      <c r="B74" s="649">
        <f t="shared" si="6"/>
        <v>13</v>
      </c>
      <c r="C74" s="650">
        <v>2</v>
      </c>
      <c r="D74" s="650">
        <f t="shared" si="7"/>
        <v>0</v>
      </c>
      <c r="E74" s="305">
        <f t="shared" si="4"/>
        <v>0</v>
      </c>
      <c r="F74" s="140"/>
      <c r="G74" s="651">
        <f t="shared" si="5"/>
        <v>0</v>
      </c>
      <c r="H74" s="571">
        <f t="shared" si="3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CEA9-9693-42E4-A0B6-F332056C7051}">
  <dimension ref="A1:Q65"/>
  <sheetViews>
    <sheetView showGridLines="0" topLeftCell="A8" zoomScale="75" zoomScaleNormal="75" workbookViewId="0">
      <selection activeCell="F57" sqref="F57"/>
    </sheetView>
  </sheetViews>
  <sheetFormatPr baseColWidth="10" defaultRowHeight="12.75" x14ac:dyDescent="0.2"/>
  <cols>
    <col min="1" max="1" width="30.5703125" customWidth="1"/>
    <col min="2" max="6" width="20.7109375" customWidth="1"/>
    <col min="7" max="7" width="17.5703125" customWidth="1"/>
  </cols>
  <sheetData>
    <row r="1" spans="1:17" ht="31.5" customHeight="1" x14ac:dyDescent="0.25">
      <c r="B1" s="280" t="s">
        <v>278</v>
      </c>
    </row>
    <row r="2" spans="1:17" ht="15" x14ac:dyDescent="0.2">
      <c r="A2" s="276" t="s">
        <v>277</v>
      </c>
      <c r="B2" s="277">
        <f>'Parrilla de Aireación'!$E$42</f>
        <v>5.1110358513573324</v>
      </c>
      <c r="C2" s="278" t="s">
        <v>2</v>
      </c>
      <c r="D2" s="279"/>
    </row>
    <row r="3" spans="1:17" ht="15" x14ac:dyDescent="0.2">
      <c r="A3" s="909" t="s">
        <v>279</v>
      </c>
      <c r="B3" s="281" t="s">
        <v>45</v>
      </c>
      <c r="C3" s="282" t="s">
        <v>15</v>
      </c>
    </row>
    <row r="4" spans="1:17" ht="15" x14ac:dyDescent="0.2">
      <c r="A4" s="910"/>
      <c r="B4" s="284">
        <f>'Parrilla de Aireación'!$E$38</f>
        <v>367.89603840000001</v>
      </c>
      <c r="C4" s="283">
        <f>'Parrilla de Aireación'!$F$38</f>
        <v>23.225760000000001</v>
      </c>
      <c r="D4" s="60"/>
    </row>
    <row r="5" spans="1:17" ht="36" customHeight="1" x14ac:dyDescent="0.2">
      <c r="A5" s="18" t="s">
        <v>56</v>
      </c>
      <c r="B5" s="42" t="s">
        <v>220</v>
      </c>
      <c r="C5" s="42" t="s">
        <v>131</v>
      </c>
      <c r="D5" s="297"/>
      <c r="E5" s="298"/>
      <c r="F5" s="266"/>
      <c r="G5" s="267"/>
    </row>
    <row r="6" spans="1:17" ht="18" customHeight="1" x14ac:dyDescent="0.3">
      <c r="A6" s="18" t="s">
        <v>57</v>
      </c>
      <c r="B6" s="42" t="s">
        <v>221</v>
      </c>
      <c r="C6" s="42" t="s">
        <v>164</v>
      </c>
      <c r="D6" s="297"/>
      <c r="E6" s="298"/>
      <c r="F6" s="268"/>
      <c r="G6" s="81"/>
      <c r="J6" s="265"/>
    </row>
    <row r="7" spans="1:17" ht="18" customHeight="1" x14ac:dyDescent="0.2">
      <c r="A7" s="18" t="s">
        <v>58</v>
      </c>
      <c r="B7" s="42" t="s">
        <v>162</v>
      </c>
      <c r="C7" s="42" t="s">
        <v>162</v>
      </c>
      <c r="D7" s="297"/>
      <c r="E7" s="298"/>
      <c r="F7" s="268"/>
      <c r="G7" s="269"/>
    </row>
    <row r="8" spans="1:17" ht="18" customHeight="1" x14ac:dyDescent="0.2">
      <c r="A8" s="18" t="s">
        <v>59</v>
      </c>
      <c r="B8" s="169">
        <v>1.1599999999999999</v>
      </c>
      <c r="C8" s="43">
        <v>1150</v>
      </c>
      <c r="D8" s="299"/>
      <c r="E8" s="300"/>
      <c r="F8" s="270"/>
      <c r="G8" s="271"/>
    </row>
    <row r="9" spans="1:17" ht="18" customHeight="1" x14ac:dyDescent="0.2">
      <c r="A9" s="18" t="s">
        <v>60</v>
      </c>
      <c r="B9" s="43" t="s">
        <v>222</v>
      </c>
      <c r="C9" s="43" t="s">
        <v>222</v>
      </c>
      <c r="D9" s="299"/>
      <c r="E9" s="300"/>
      <c r="F9" s="272"/>
      <c r="G9" s="271"/>
    </row>
    <row r="10" spans="1:17" ht="18" customHeight="1" x14ac:dyDescent="0.3">
      <c r="A10" s="145" t="s">
        <v>61</v>
      </c>
      <c r="B10" s="170">
        <v>0.82</v>
      </c>
      <c r="C10" s="44">
        <v>0.82</v>
      </c>
      <c r="D10" s="301"/>
      <c r="E10" s="302"/>
      <c r="F10" s="273"/>
      <c r="G10" s="274"/>
      <c r="L10" s="265"/>
    </row>
    <row r="11" spans="1:17" ht="18" customHeight="1" x14ac:dyDescent="0.2">
      <c r="A11" s="18" t="s">
        <v>62</v>
      </c>
      <c r="B11" s="41" t="s">
        <v>163</v>
      </c>
      <c r="C11" s="41" t="s">
        <v>163</v>
      </c>
      <c r="D11" s="303"/>
      <c r="E11" s="298"/>
      <c r="F11" s="239"/>
      <c r="G11" s="81"/>
    </row>
    <row r="14" spans="1:17" ht="20.25" x14ac:dyDescent="0.3">
      <c r="Q14" s="265"/>
    </row>
    <row r="16" spans="1:17" ht="20.25" x14ac:dyDescent="0.3">
      <c r="B16" s="265" t="s">
        <v>275</v>
      </c>
      <c r="H16" s="275" t="s">
        <v>276</v>
      </c>
      <c r="I16" s="265"/>
    </row>
    <row r="38" spans="3:3" ht="20.25" x14ac:dyDescent="0.3">
      <c r="C38" s="265"/>
    </row>
    <row r="59" spans="2:8" ht="20.25" x14ac:dyDescent="0.3">
      <c r="B59" s="265"/>
    </row>
    <row r="62" spans="2:8" ht="20.25" x14ac:dyDescent="0.3">
      <c r="H62" s="265"/>
    </row>
    <row r="65" spans="3:3" ht="20.25" x14ac:dyDescent="0.3">
      <c r="C65" s="265"/>
    </row>
  </sheetData>
  <mergeCells count="1">
    <mergeCell ref="A3:A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Parrilla de Aireación</vt:lpstr>
      <vt:lpstr>Parab Camarones</vt:lpstr>
      <vt:lpstr>Suministro de Alimento y O2</vt:lpstr>
      <vt:lpstr>Agua-T(°C)</vt:lpstr>
      <vt:lpstr>Tuberia de Aireación</vt:lpstr>
      <vt:lpstr>Tubería hacia Filtro</vt:lpstr>
      <vt:lpstr>Tuberías Varias</vt:lpstr>
      <vt:lpstr>Alternativas Bombas Aireación</vt:lpstr>
      <vt:lpstr>'Parab Camarones'!Área_de_impresión</vt:lpstr>
    </vt:vector>
  </TitlesOfParts>
  <Company>INGENIERO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PAEZ</dc:creator>
  <dc:description/>
  <cp:lastModifiedBy>Carlos Paez</cp:lastModifiedBy>
  <cp:revision>1</cp:revision>
  <cp:lastPrinted>2017-03-28T13:54:19Z</cp:lastPrinted>
  <dcterms:created xsi:type="dcterms:W3CDTF">2004-01-23T13:31:54Z</dcterms:created>
  <dcterms:modified xsi:type="dcterms:W3CDTF">2023-12-10T15:20:28Z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INGENIERO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